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4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D6C64F3-6CD6-4983-B7A0-7841E59CDA19}" xr6:coauthVersionLast="46" xr6:coauthVersionMax="46" xr10:uidLastSave="{00000000-0000-0000-0000-000000000000}"/>
  <bookViews>
    <workbookView xWindow="-96" yWindow="-96" windowWidth="23232" windowHeight="12552" tabRatio="777" activeTab="3" xr2:uid="{E9C2C028-8CFA-46F0-ADA8-D0C733E1E6E0}"/>
  </bookViews>
  <sheets>
    <sheet name="Metricas" sheetId="5" r:id="rId1"/>
    <sheet name="Modelo Económico-Financiero" sheetId="2" r:id="rId2"/>
    <sheet name="Calculos" sheetId="3" state="veryHidden" r:id="rId3"/>
    <sheet name="Dashboard" sheetId="4" r:id="rId4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4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xlchart.v1.0" hidden="1">Calculos!$A$71:$A$73</definedName>
    <definedName name="_xlchart.v1.1" hidden="1">Calculos!$B$71:$B$73</definedName>
    <definedName name="_xlchart.v1.2" hidden="1">Calculos!$A$65:$A$66</definedName>
    <definedName name="_xlchart.v1.3" hidden="1">Calculos!$B$65:$B$66</definedName>
    <definedName name="_xlchart.v1.4" hidden="1">Calculos!$A$41:$A$43</definedName>
    <definedName name="_xlchart.v1.5" hidden="1">Calculos!$B$41:$B$43</definedName>
    <definedName name="_xlchart.v1.6" hidden="1">Calculos!$A$77:$A$79</definedName>
    <definedName name="_xlchart.v1.7" hidden="1">Calculos!$B$77:$B$79</definedName>
    <definedName name="_xlchart.v1.8" hidden="1">Calculos!$A$85:$A$86</definedName>
    <definedName name="_xlchart.v1.9" hidden="1">Calculos!$B$85:$B$86</definedName>
    <definedName name="EVA">'Modelo Económico-Financiero'!$C$126</definedName>
    <definedName name="Pal_Workbook_GUID" hidden="1">"KDX44CIUAZDFHRGE9X8D7I35"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_LP">'Modelo Económico-Financiero'!$B$97</definedName>
    <definedName name="tir">'Modelo Económico-Financiero'!$B$130</definedName>
    <definedName name="VP">'Modelo Económico-Financiero'!#REF!</definedName>
    <definedName name="wacc">'Modelo Económico-Financiero'!$B$110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3" l="1"/>
  <c r="B88" i="3"/>
  <c r="B87" i="3"/>
  <c r="B84" i="3"/>
  <c r="B38" i="3"/>
  <c r="B66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3" i="3" a="1"/>
  <c r="B3" i="3" s="1"/>
  <c r="B113" i="2"/>
  <c r="B104" i="2"/>
  <c r="B109" i="2" s="1"/>
  <c r="B92" i="2"/>
  <c r="B93" i="2" s="1"/>
  <c r="B89" i="2"/>
  <c r="B85" i="3" l="1"/>
  <c r="B86" i="3"/>
  <c r="B78" i="3"/>
  <c r="B77" i="3"/>
  <c r="B79" i="3"/>
  <c r="B73" i="3"/>
  <c r="B71" i="3"/>
  <c r="B72" i="3"/>
  <c r="B41" i="3"/>
  <c r="B42" i="3"/>
  <c r="B47" i="3"/>
  <c r="C47" i="3" s="1"/>
  <c r="B65" i="3"/>
  <c r="B43" i="3"/>
  <c r="B110" i="2"/>
  <c r="D28" i="3" l="1"/>
  <c r="B48" i="3" s="1"/>
  <c r="C48" i="3" s="1"/>
  <c r="C50" i="3" s="1"/>
  <c r="J122" i="2"/>
  <c r="B131" i="2"/>
  <c r="B133" i="2" s="1"/>
  <c r="C122" i="2"/>
  <c r="H119" i="2"/>
  <c r="H122" i="2"/>
  <c r="D119" i="2"/>
  <c r="F119" i="2"/>
  <c r="I119" i="2"/>
  <c r="I122" i="2"/>
  <c r="C119" i="2"/>
  <c r="D122" i="2"/>
  <c r="F122" i="2"/>
  <c r="G119" i="2"/>
  <c r="G122" i="2"/>
  <c r="E119" i="2"/>
  <c r="J119" i="2"/>
  <c r="E122" i="2"/>
  <c r="C27" i="2"/>
  <c r="D27" i="2" s="1"/>
  <c r="E27" i="2" s="1"/>
  <c r="F27" i="2" s="1"/>
  <c r="G27" i="2" s="1"/>
  <c r="H27" i="2" s="1"/>
  <c r="I27" i="2" s="1"/>
  <c r="J27" i="2" s="1"/>
  <c r="C26" i="2"/>
  <c r="D26" i="2" s="1"/>
  <c r="E26" i="2" s="1"/>
  <c r="F26" i="2" s="1"/>
  <c r="G26" i="2" s="1"/>
  <c r="H26" i="2" s="1"/>
  <c r="I26" i="2" s="1"/>
  <c r="J26" i="2" s="1"/>
  <c r="C25" i="2"/>
  <c r="D25" i="2" s="1"/>
  <c r="E25" i="2" s="1"/>
  <c r="F25" i="2" s="1"/>
  <c r="G25" i="2" s="1"/>
  <c r="H25" i="2" s="1"/>
  <c r="I25" i="2" s="1"/>
  <c r="J25" i="2" s="1"/>
  <c r="C24" i="2"/>
  <c r="D24" i="2" s="1"/>
  <c r="E24" i="2" s="1"/>
  <c r="F24" i="2" s="1"/>
  <c r="G24" i="2" s="1"/>
  <c r="H24" i="2" s="1"/>
  <c r="I24" i="2" s="1"/>
  <c r="J24" i="2" s="1"/>
  <c r="C23" i="2"/>
  <c r="C57" i="2" s="1"/>
  <c r="C21" i="2"/>
  <c r="C20" i="2"/>
  <c r="D20" i="2" s="1"/>
  <c r="E20" i="2" s="1"/>
  <c r="F20" i="2" s="1"/>
  <c r="G20" i="2" s="1"/>
  <c r="H20" i="2" s="1"/>
  <c r="I20" i="2" s="1"/>
  <c r="J20" i="2" s="1"/>
  <c r="C19" i="2"/>
  <c r="C18" i="2"/>
  <c r="C17" i="2"/>
  <c r="D17" i="2" s="1"/>
  <c r="E17" i="2" s="1"/>
  <c r="F17" i="2" s="1"/>
  <c r="G17" i="2" s="1"/>
  <c r="H17" i="2" s="1"/>
  <c r="I17" i="2" s="1"/>
  <c r="J17" i="2" s="1"/>
  <c r="C16" i="2"/>
  <c r="C15" i="2"/>
  <c r="C14" i="2"/>
  <c r="C38" i="2" s="1"/>
  <c r="C13" i="2"/>
  <c r="D13" i="2" s="1"/>
  <c r="E13" i="2" s="1"/>
  <c r="F13" i="2" s="1"/>
  <c r="G13" i="2" s="1"/>
  <c r="H13" i="2" s="1"/>
  <c r="I13" i="2" s="1"/>
  <c r="J13" i="2" s="1"/>
  <c r="C12" i="2"/>
  <c r="D12" i="2" s="1"/>
  <c r="E12" i="2" s="1"/>
  <c r="F12" i="2" s="1"/>
  <c r="G12" i="2" s="1"/>
  <c r="H12" i="2" s="1"/>
  <c r="I12" i="2" s="1"/>
  <c r="J12" i="2" s="1"/>
  <c r="C11" i="2"/>
  <c r="D11" i="2" s="1"/>
  <c r="E11" i="2" s="1"/>
  <c r="F11" i="2" s="1"/>
  <c r="G11" i="2" s="1"/>
  <c r="H11" i="2" s="1"/>
  <c r="I11" i="2" s="1"/>
  <c r="J11" i="2" s="1"/>
  <c r="C10" i="2"/>
  <c r="C9" i="2"/>
  <c r="D9" i="2" s="1"/>
  <c r="E9" i="2" s="1"/>
  <c r="F9" i="2" s="1"/>
  <c r="G9" i="2" s="1"/>
  <c r="H9" i="2" s="1"/>
  <c r="I9" i="2" s="1"/>
  <c r="J9" i="2" s="1"/>
  <c r="C8" i="2"/>
  <c r="C7" i="2"/>
  <c r="C6" i="2"/>
  <c r="D6" i="2" s="1"/>
  <c r="E6" i="2" s="1"/>
  <c r="F6" i="2" s="1"/>
  <c r="G6" i="2" s="1"/>
  <c r="H6" i="2" s="1"/>
  <c r="I6" i="2" s="1"/>
  <c r="J6" i="2" s="1"/>
  <c r="B22" i="2"/>
  <c r="D55" i="3" l="1"/>
  <c r="D54" i="3"/>
  <c r="D52" i="3"/>
  <c r="D53" i="3"/>
  <c r="D8" i="2"/>
  <c r="D16" i="2"/>
  <c r="D14" i="2"/>
  <c r="E14" i="2" s="1"/>
  <c r="D15" i="2"/>
  <c r="D21" i="2"/>
  <c r="C54" i="2"/>
  <c r="C82" i="2"/>
  <c r="C36" i="2"/>
  <c r="C34" i="2"/>
  <c r="C33" i="2"/>
  <c r="C35" i="2"/>
  <c r="D23" i="2"/>
  <c r="D19" i="2"/>
  <c r="D10" i="2"/>
  <c r="E10" i="2" s="1"/>
  <c r="F10" i="2" s="1"/>
  <c r="G10" i="2" s="1"/>
  <c r="H10" i="2" s="1"/>
  <c r="I10" i="2" s="1"/>
  <c r="J10" i="2" s="1"/>
  <c r="D18" i="2"/>
  <c r="C49" i="2"/>
  <c r="D7" i="2"/>
  <c r="E8" i="2" l="1"/>
  <c r="E16" i="2"/>
  <c r="D38" i="2"/>
  <c r="C32" i="2"/>
  <c r="E19" i="2"/>
  <c r="C51" i="2"/>
  <c r="E7" i="2"/>
  <c r="D36" i="2"/>
  <c r="D34" i="2"/>
  <c r="D33" i="2"/>
  <c r="D35" i="2"/>
  <c r="C50" i="2"/>
  <c r="C83" i="2"/>
  <c r="E18" i="2"/>
  <c r="D49" i="2"/>
  <c r="E23" i="2"/>
  <c r="D57" i="2"/>
  <c r="E21" i="2"/>
  <c r="D82" i="2"/>
  <c r="D54" i="2"/>
  <c r="E15" i="2"/>
  <c r="F14" i="2"/>
  <c r="E38" i="2"/>
  <c r="F8" i="2" l="1"/>
  <c r="F16" i="2"/>
  <c r="C52" i="2"/>
  <c r="F15" i="2"/>
  <c r="F18" i="2"/>
  <c r="E49" i="2"/>
  <c r="F7" i="2"/>
  <c r="E33" i="2"/>
  <c r="E35" i="2"/>
  <c r="E34" i="2"/>
  <c r="E36" i="2"/>
  <c r="D83" i="2"/>
  <c r="D37" i="2" s="1"/>
  <c r="G14" i="2"/>
  <c r="F38" i="2"/>
  <c r="F19" i="2"/>
  <c r="D51" i="2"/>
  <c r="C37" i="2"/>
  <c r="C84" i="2"/>
  <c r="F21" i="2"/>
  <c r="E82" i="2"/>
  <c r="E54" i="2"/>
  <c r="F23" i="2"/>
  <c r="E57" i="2"/>
  <c r="D32" i="2"/>
  <c r="D50" i="2"/>
  <c r="G8" i="2" l="1"/>
  <c r="G16" i="2"/>
  <c r="C41" i="2"/>
  <c r="C112" i="2" s="1"/>
  <c r="C113" i="2" s="1"/>
  <c r="C114" i="2" s="1"/>
  <c r="D52" i="2"/>
  <c r="D41" i="2"/>
  <c r="G21" i="2"/>
  <c r="F82" i="2"/>
  <c r="F54" i="2"/>
  <c r="C55" i="2"/>
  <c r="C56" i="2" s="1"/>
  <c r="C58" i="2" s="1"/>
  <c r="D84" i="2"/>
  <c r="C85" i="2"/>
  <c r="E32" i="2"/>
  <c r="G7" i="2"/>
  <c r="F34" i="2"/>
  <c r="F36" i="2"/>
  <c r="F35" i="2"/>
  <c r="F33" i="2"/>
  <c r="H14" i="2"/>
  <c r="G38" i="2"/>
  <c r="G18" i="2"/>
  <c r="F49" i="2"/>
  <c r="G23" i="2"/>
  <c r="F57" i="2"/>
  <c r="E51" i="2"/>
  <c r="E50" i="2"/>
  <c r="G15" i="2"/>
  <c r="E83" i="2"/>
  <c r="E37" i="2" s="1"/>
  <c r="G19" i="2"/>
  <c r="H8" i="2" l="1"/>
  <c r="H16" i="2"/>
  <c r="C59" i="2"/>
  <c r="D112" i="2"/>
  <c r="D113" i="2" s="1"/>
  <c r="D114" i="2" s="1"/>
  <c r="E52" i="2"/>
  <c r="F32" i="2"/>
  <c r="E41" i="2"/>
  <c r="H19" i="2"/>
  <c r="D55" i="2"/>
  <c r="D56" i="2" s="1"/>
  <c r="D58" i="2" s="1"/>
  <c r="D59" i="2" s="1"/>
  <c r="E84" i="2"/>
  <c r="D85" i="2"/>
  <c r="I14" i="2"/>
  <c r="H38" i="2"/>
  <c r="H23" i="2"/>
  <c r="G57" i="2"/>
  <c r="H18" i="2"/>
  <c r="G49" i="2"/>
  <c r="H15" i="2"/>
  <c r="F51" i="2"/>
  <c r="F83" i="2"/>
  <c r="F37" i="2" s="1"/>
  <c r="H7" i="2"/>
  <c r="G35" i="2"/>
  <c r="G33" i="2"/>
  <c r="G36" i="2"/>
  <c r="G34" i="2"/>
  <c r="H21" i="2"/>
  <c r="G54" i="2"/>
  <c r="G82" i="2"/>
  <c r="F50" i="2"/>
  <c r="C67" i="2" l="1"/>
  <c r="I8" i="2"/>
  <c r="I16" i="2"/>
  <c r="C63" i="2"/>
  <c r="C64" i="2"/>
  <c r="C75" i="2"/>
  <c r="C78" i="2" s="1"/>
  <c r="G50" i="2"/>
  <c r="E112" i="2"/>
  <c r="E113" i="2" s="1"/>
  <c r="E114" i="2" s="1"/>
  <c r="F52" i="2"/>
  <c r="F41" i="2"/>
  <c r="D67" i="2"/>
  <c r="D64" i="2"/>
  <c r="D63" i="2"/>
  <c r="D75" i="2"/>
  <c r="D78" i="2" s="1"/>
  <c r="I15" i="2"/>
  <c r="G83" i="2"/>
  <c r="G37" i="2" s="1"/>
  <c r="I7" i="2"/>
  <c r="H36" i="2"/>
  <c r="H34" i="2"/>
  <c r="H33" i="2"/>
  <c r="H50" i="2"/>
  <c r="H35" i="2"/>
  <c r="I23" i="2"/>
  <c r="H57" i="2"/>
  <c r="I19" i="2"/>
  <c r="I21" i="2"/>
  <c r="H54" i="2"/>
  <c r="H82" i="2"/>
  <c r="J14" i="2"/>
  <c r="I38" i="2"/>
  <c r="G51" i="2"/>
  <c r="I18" i="2"/>
  <c r="H49" i="2"/>
  <c r="G32" i="2"/>
  <c r="F84" i="2"/>
  <c r="E55" i="2"/>
  <c r="E56" i="2" s="1"/>
  <c r="E58" i="2" s="1"/>
  <c r="E85" i="2"/>
  <c r="J8" i="2" l="1"/>
  <c r="J16" i="2"/>
  <c r="C65" i="2"/>
  <c r="C118" i="2"/>
  <c r="C120" i="2" s="1"/>
  <c r="E59" i="2"/>
  <c r="G52" i="2"/>
  <c r="F112" i="2"/>
  <c r="F113" i="2" s="1"/>
  <c r="F114" i="2" s="1"/>
  <c r="G41" i="2"/>
  <c r="H32" i="2"/>
  <c r="D65" i="2"/>
  <c r="D68" i="2" s="1"/>
  <c r="C79" i="2"/>
  <c r="C115" i="2" s="1"/>
  <c r="C116" i="2" s="1"/>
  <c r="D118" i="2"/>
  <c r="D120" i="2" s="1"/>
  <c r="J18" i="2"/>
  <c r="I49" i="2"/>
  <c r="J38" i="2"/>
  <c r="H83" i="2"/>
  <c r="H37" i="2" s="1"/>
  <c r="J19" i="2"/>
  <c r="J7" i="2"/>
  <c r="I36" i="2"/>
  <c r="I35" i="2"/>
  <c r="I33" i="2"/>
  <c r="I34" i="2"/>
  <c r="G84" i="2"/>
  <c r="F55" i="2"/>
  <c r="F56" i="2" s="1"/>
  <c r="F58" i="2" s="1"/>
  <c r="F59" i="2" s="1"/>
  <c r="F85" i="2"/>
  <c r="J21" i="2"/>
  <c r="I54" i="2"/>
  <c r="I82" i="2"/>
  <c r="J23" i="2"/>
  <c r="I57" i="2"/>
  <c r="H51" i="2"/>
  <c r="H52" i="2" s="1"/>
  <c r="J15" i="2"/>
  <c r="E67" i="2" l="1"/>
  <c r="C68" i="2"/>
  <c r="D125" i="2"/>
  <c r="E75" i="2"/>
  <c r="E78" i="2" s="1"/>
  <c r="D79" i="2" s="1"/>
  <c r="D115" i="2" s="1"/>
  <c r="D116" i="2" s="1"/>
  <c r="E63" i="2"/>
  <c r="E64" i="2"/>
  <c r="C125" i="2"/>
  <c r="I50" i="2"/>
  <c r="G112" i="2"/>
  <c r="G113" i="2" s="1"/>
  <c r="G114" i="2" s="1"/>
  <c r="H41" i="2"/>
  <c r="H84" i="2"/>
  <c r="G55" i="2"/>
  <c r="G56" i="2" s="1"/>
  <c r="G58" i="2" s="1"/>
  <c r="G85" i="2"/>
  <c r="D88" i="2"/>
  <c r="D89" i="2" s="1"/>
  <c r="D42" i="2" s="1"/>
  <c r="D70" i="2"/>
  <c r="D71" i="2" s="1"/>
  <c r="C123" i="2"/>
  <c r="J36" i="2"/>
  <c r="J35" i="2"/>
  <c r="J34" i="2"/>
  <c r="J33" i="2"/>
  <c r="I51" i="2"/>
  <c r="I32" i="2"/>
  <c r="J82" i="2"/>
  <c r="J54" i="2"/>
  <c r="J49" i="2"/>
  <c r="J57" i="2"/>
  <c r="I83" i="2"/>
  <c r="I37" i="2" s="1"/>
  <c r="F67" i="2"/>
  <c r="F63" i="2"/>
  <c r="F75" i="2"/>
  <c r="F78" i="2" s="1"/>
  <c r="F64" i="2"/>
  <c r="C70" i="2" l="1"/>
  <c r="C88" i="2"/>
  <c r="C89" i="2" s="1"/>
  <c r="C42" i="2" s="1"/>
  <c r="C43" i="2" s="1"/>
  <c r="C44" i="2" s="1"/>
  <c r="E65" i="2"/>
  <c r="E118" i="2"/>
  <c r="E120" i="2" s="1"/>
  <c r="G59" i="2"/>
  <c r="I52" i="2"/>
  <c r="H112" i="2"/>
  <c r="H113" i="2" s="1"/>
  <c r="H114" i="2" s="1"/>
  <c r="D43" i="2"/>
  <c r="D44" i="2" s="1"/>
  <c r="I41" i="2"/>
  <c r="J32" i="2"/>
  <c r="I84" i="2"/>
  <c r="H55" i="2"/>
  <c r="H56" i="2" s="1"/>
  <c r="H58" i="2" s="1"/>
  <c r="H59" i="2" s="1"/>
  <c r="H85" i="2"/>
  <c r="E79" i="2"/>
  <c r="E115" i="2" s="1"/>
  <c r="E116" i="2" s="1"/>
  <c r="F118" i="2"/>
  <c r="F120" i="2" s="1"/>
  <c r="D123" i="2"/>
  <c r="F65" i="2"/>
  <c r="F68" i="2" s="1"/>
  <c r="J51" i="2"/>
  <c r="J83" i="2"/>
  <c r="J37" i="2" s="1"/>
  <c r="J50" i="2"/>
  <c r="G75" i="2" l="1"/>
  <c r="G78" i="2" s="1"/>
  <c r="G118" i="2" s="1"/>
  <c r="G120" i="2" s="1"/>
  <c r="G125" i="2" s="1"/>
  <c r="E68" i="2"/>
  <c r="E70" i="2" s="1"/>
  <c r="C71" i="2"/>
  <c r="E125" i="2"/>
  <c r="G63" i="2"/>
  <c r="G67" i="2"/>
  <c r="G64" i="2"/>
  <c r="F125" i="2"/>
  <c r="I112" i="2"/>
  <c r="I113" i="2" s="1"/>
  <c r="I114" i="2" s="1"/>
  <c r="J41" i="2"/>
  <c r="J52" i="2"/>
  <c r="F88" i="2"/>
  <c r="F89" i="2" s="1"/>
  <c r="F42" i="2" s="1"/>
  <c r="F70" i="2"/>
  <c r="F71" i="2" s="1"/>
  <c r="E123" i="2"/>
  <c r="H67" i="2"/>
  <c r="H64" i="2"/>
  <c r="H63" i="2"/>
  <c r="H75" i="2"/>
  <c r="H78" i="2" s="1"/>
  <c r="J84" i="2"/>
  <c r="I55" i="2"/>
  <c r="I56" i="2" s="1"/>
  <c r="I58" i="2" s="1"/>
  <c r="I59" i="2" s="1"/>
  <c r="I85" i="2"/>
  <c r="F79" i="2" l="1"/>
  <c r="F115" i="2" s="1"/>
  <c r="F116" i="2" s="1"/>
  <c r="F123" i="2" s="1"/>
  <c r="E88" i="2"/>
  <c r="E89" i="2" s="1"/>
  <c r="E42" i="2" s="1"/>
  <c r="E43" i="2" s="1"/>
  <c r="E44" i="2" s="1"/>
  <c r="G65" i="2"/>
  <c r="E71" i="2"/>
  <c r="F43" i="2"/>
  <c r="F44" i="2" s="1"/>
  <c r="J112" i="2"/>
  <c r="J113" i="2" s="1"/>
  <c r="J114" i="2" s="1"/>
  <c r="H65" i="2"/>
  <c r="G79" i="2"/>
  <c r="G115" i="2" s="1"/>
  <c r="G116" i="2" s="1"/>
  <c r="H118" i="2"/>
  <c r="H120" i="2" s="1"/>
  <c r="I75" i="2"/>
  <c r="I78" i="2" s="1"/>
  <c r="I67" i="2"/>
  <c r="I64" i="2"/>
  <c r="I63" i="2"/>
  <c r="J55" i="2"/>
  <c r="J56" i="2" s="1"/>
  <c r="J58" i="2" s="1"/>
  <c r="J59" i="2" s="1"/>
  <c r="J85" i="2"/>
  <c r="G68" i="2" l="1"/>
  <c r="H68" i="2"/>
  <c r="H88" i="2" s="1"/>
  <c r="H89" i="2" s="1"/>
  <c r="H42" i="2" s="1"/>
  <c r="G88" i="2"/>
  <c r="G89" i="2" s="1"/>
  <c r="G42" i="2" s="1"/>
  <c r="G43" i="2" s="1"/>
  <c r="G44" i="2" s="1"/>
  <c r="H125" i="2"/>
  <c r="G123" i="2"/>
  <c r="J67" i="2"/>
  <c r="J64" i="2"/>
  <c r="J63" i="2"/>
  <c r="J75" i="2"/>
  <c r="J78" i="2" s="1"/>
  <c r="H79" i="2"/>
  <c r="H115" i="2" s="1"/>
  <c r="H116" i="2" s="1"/>
  <c r="I118" i="2"/>
  <c r="I120" i="2" s="1"/>
  <c r="I125" i="2" s="1"/>
  <c r="I65" i="2"/>
  <c r="I68" i="2" s="1"/>
  <c r="G70" i="2" l="1"/>
  <c r="H70" i="2"/>
  <c r="H71" i="2" s="1"/>
  <c r="H43" i="2"/>
  <c r="H44" i="2" s="1"/>
  <c r="J65" i="2"/>
  <c r="I88" i="2"/>
  <c r="I89" i="2" s="1"/>
  <c r="I42" i="2" s="1"/>
  <c r="I70" i="2"/>
  <c r="I79" i="2"/>
  <c r="I115" i="2" s="1"/>
  <c r="I116" i="2" s="1"/>
  <c r="J118" i="2"/>
  <c r="J120" i="2" s="1"/>
  <c r="J79" i="2"/>
  <c r="H123" i="2"/>
  <c r="G71" i="2" l="1"/>
  <c r="I71" i="2"/>
  <c r="J68" i="2"/>
  <c r="J125" i="2"/>
  <c r="I43" i="2"/>
  <c r="I44" i="2" s="1"/>
  <c r="I123" i="2"/>
  <c r="J115" i="2"/>
  <c r="J116" i="2" s="1"/>
  <c r="K78" i="2"/>
  <c r="J70" i="2" l="1"/>
  <c r="J71" i="2" s="1"/>
  <c r="J88" i="2"/>
  <c r="J89" i="2" s="1"/>
  <c r="J42" i="2" s="1"/>
  <c r="J43" i="2" s="1"/>
  <c r="J44" i="2" s="1"/>
  <c r="C126" i="2"/>
  <c r="J12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<sst xmlns="http://schemas.openxmlformats.org/spreadsheetml/2006/main" count="207" uniqueCount="142">
  <si>
    <t>Intereses</t>
  </si>
  <si>
    <t>Impuestos</t>
  </si>
  <si>
    <t>Utilidad neta</t>
  </si>
  <si>
    <t xml:space="preserve">Ventas </t>
  </si>
  <si>
    <t>Costos Directos</t>
  </si>
  <si>
    <t>Materiales</t>
  </si>
  <si>
    <t>Mano de obra</t>
  </si>
  <si>
    <t>Mantenimiento</t>
  </si>
  <si>
    <t>Gastos generales</t>
  </si>
  <si>
    <t>Costos Indirectos</t>
  </si>
  <si>
    <t>Gastos de ventas</t>
  </si>
  <si>
    <t xml:space="preserve">Depreciación </t>
  </si>
  <si>
    <t>Utilidad operativa</t>
  </si>
  <si>
    <t>Efectivo y Equivalentes de Efectivo</t>
  </si>
  <si>
    <t>Total Activo Corriente</t>
  </si>
  <si>
    <t xml:space="preserve">    Depreciación, Amortizacion Acumulados         </t>
  </si>
  <si>
    <t>Total Activo No Corriente</t>
  </si>
  <si>
    <t xml:space="preserve">Cuentas por Cobrar </t>
  </si>
  <si>
    <t>Activos no Corrientes</t>
  </si>
  <si>
    <t>Activos Corrientes</t>
  </si>
  <si>
    <t>Pasivos</t>
  </si>
  <si>
    <t>Pasivos Corrientes</t>
  </si>
  <si>
    <t>Cuentas por Pagar</t>
  </si>
  <si>
    <t>Deuda de corto plazo</t>
  </si>
  <si>
    <t>Total pasivos corrientes</t>
  </si>
  <si>
    <t>Pasivos no corrientes</t>
  </si>
  <si>
    <t>Deuda de largo plazo</t>
  </si>
  <si>
    <t>Total pasivos</t>
  </si>
  <si>
    <t xml:space="preserve">Patrimonio Neto                  </t>
  </si>
  <si>
    <t>Total Activos</t>
  </si>
  <si>
    <t>Total Pasivo y Patrimonio Neto</t>
  </si>
  <si>
    <t>Activos totales</t>
  </si>
  <si>
    <t>(-) Activos no opertaivos</t>
  </si>
  <si>
    <t>(=) Capital</t>
  </si>
  <si>
    <t>NOPAT</t>
  </si>
  <si>
    <t>(-) Inversión Neta</t>
  </si>
  <si>
    <t xml:space="preserve">(=) Free Cash Flow </t>
  </si>
  <si>
    <t>ROIC</t>
  </si>
  <si>
    <t>WACC</t>
  </si>
  <si>
    <t>Factor de descuento</t>
  </si>
  <si>
    <t>VP FCF</t>
  </si>
  <si>
    <t>VP EVA</t>
  </si>
  <si>
    <t>Economic Value Added (EVA)</t>
  </si>
  <si>
    <t>SUPUESTOS</t>
  </si>
  <si>
    <t>Precio (Por unidad)</t>
  </si>
  <si>
    <t>Tasa de crecimiento de las ventas - CP (% )</t>
  </si>
  <si>
    <t>Costo de materiales (Por unidad)</t>
  </si>
  <si>
    <t>Costo de mano de obra (Por unidad)</t>
  </si>
  <si>
    <t>Unidades iniciales</t>
  </si>
  <si>
    <t>Costo de mantenimiento (Por unidad)</t>
  </si>
  <si>
    <t>Costo de gastos generales (Por unidad)</t>
  </si>
  <si>
    <t>Gastos de ventas (Soles)</t>
  </si>
  <si>
    <t>Gastos administrativos</t>
  </si>
  <si>
    <t>Gastos administrativos (Soles)</t>
  </si>
  <si>
    <t>Inventarios</t>
  </si>
  <si>
    <t>Cuentas por Cobrar (% de ventas)</t>
  </si>
  <si>
    <t>Depreciación  (% de activos fijos)</t>
  </si>
  <si>
    <t>Inventarios (% de ventas)</t>
  </si>
  <si>
    <t>Otros activos no corrientes  (Soles)</t>
  </si>
  <si>
    <t>Cuentas por Pagar (% de activos)</t>
  </si>
  <si>
    <t>Deuda de corto plazo (% de activos)</t>
  </si>
  <si>
    <t>Deuda de largo plazo (% de activos)</t>
  </si>
  <si>
    <t>Perpetuidad</t>
  </si>
  <si>
    <t>Beta sin apalancar</t>
  </si>
  <si>
    <t>ESTIMACIONES AUXILIARES</t>
  </si>
  <si>
    <t>Costo de oportunidad de los accionistas (ke)</t>
  </si>
  <si>
    <t xml:space="preserve">Working Capital </t>
  </si>
  <si>
    <t>Deuda e interés</t>
  </si>
  <si>
    <t xml:space="preserve">    Inmuebles, Maquinaria y Equipo               </t>
  </si>
  <si>
    <t xml:space="preserve">    Inmuebles, Maquinaria y Equipo. Neto         </t>
  </si>
  <si>
    <t>(-) Depreciación</t>
  </si>
  <si>
    <t>Inmuebles, Maquinaria y Equipo</t>
  </si>
  <si>
    <t>Inmuebles, Maquinaria y Equipo. Neto</t>
  </si>
  <si>
    <t>Deuda</t>
  </si>
  <si>
    <t>Depreciación acumulada</t>
  </si>
  <si>
    <t>Inmuebles, Maquinaria y Equipo. Neto (1 - 8 años)</t>
  </si>
  <si>
    <t>EVALUACIÓN  VPN</t>
  </si>
  <si>
    <t>(-) Pasivos no financieros</t>
  </si>
  <si>
    <t>Inversión Neta</t>
  </si>
  <si>
    <t>EVA</t>
  </si>
  <si>
    <t>Pasivo</t>
  </si>
  <si>
    <t>Estructura de capital proyectada</t>
  </si>
  <si>
    <t>Patrimonio neto</t>
  </si>
  <si>
    <t>Tasa de impuesto a la renta (t)</t>
  </si>
  <si>
    <t>Tasa libre de riesgo (rf)</t>
  </si>
  <si>
    <t>Prima por Riesgo de mercado EE.UU. (rm - rf)</t>
  </si>
  <si>
    <t>CAPM</t>
  </si>
  <si>
    <t>ke</t>
  </si>
  <si>
    <t>Costo de oportunidad</t>
  </si>
  <si>
    <t>kd</t>
  </si>
  <si>
    <t>TIR</t>
  </si>
  <si>
    <t>Total TIR Modificada</t>
  </si>
  <si>
    <t>Diferencia</t>
  </si>
  <si>
    <t xml:space="preserve">ESTADO DE GANANCIAS Y PERDIDAS </t>
  </si>
  <si>
    <t>(En miles de dólares)</t>
  </si>
  <si>
    <t>BALANCE GENERAL</t>
  </si>
  <si>
    <t>Inmuebles, Maquinaria y Equipo. Neto (A partir del 9)</t>
  </si>
  <si>
    <t>Riesgo Pais (rp)</t>
  </si>
  <si>
    <t>Otros activos no corrientes</t>
  </si>
  <si>
    <t>EMPRESA 01</t>
  </si>
  <si>
    <t>1. Ventas  Totales, compuesta por costos directos en indirectos</t>
  </si>
  <si>
    <t>2. Varianza de Ventas del año actual vs año anterior</t>
  </si>
  <si>
    <t>3. Ventas  Totales, compuesta por costos directos en indirectos por los años</t>
  </si>
  <si>
    <t>4. Utilidad operativa vs Utilidad neta</t>
  </si>
  <si>
    <t>5. Total Activo Corriente vs Total Activos No Corrientes</t>
  </si>
  <si>
    <t>6. Total Activos</t>
  </si>
  <si>
    <t>7. Varianza de Total activos del año actual vs año anterior</t>
  </si>
  <si>
    <t>8. Total pasivos corrientes vs Total Pasivos vs Patrimonio Neto</t>
  </si>
  <si>
    <t>9. Total Pasivo y Patrimonio Neto</t>
  </si>
  <si>
    <t>10. Varianza de Total Pasivo y Patrimonio Neto del año actual vs año anterior</t>
  </si>
  <si>
    <t>11. Costo de oportunidad de los accionistas (ke)</t>
  </si>
  <si>
    <t>12. NOPAT vs EVA por años</t>
  </si>
  <si>
    <t>Metricas del Modelo Económico Financiero</t>
  </si>
  <si>
    <t>13. TIR</t>
  </si>
  <si>
    <t>14. WACC</t>
  </si>
  <si>
    <t>15. Diferencia</t>
  </si>
  <si>
    <t>Metricas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</si>
  <si>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</si>
  <si>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</si>
  <si>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</si>
  <si>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</si>
  <si>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</si>
  <si>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</si>
  <si>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</si>
  <si>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</si>
  <si>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Indicador</t>
  </si>
  <si>
    <t>Mes</t>
  </si>
  <si>
    <t>Mes actual</t>
  </si>
  <si>
    <t>Mes anterior</t>
  </si>
  <si>
    <t>Varianza</t>
  </si>
  <si>
    <t>Rango Normal</t>
  </si>
  <si>
    <t>0.9 - 1.1</t>
  </si>
  <si>
    <t>&gt; 1.1</t>
  </si>
  <si>
    <t>Rango No permitido Inferior</t>
  </si>
  <si>
    <t>&lt; 0.9</t>
  </si>
  <si>
    <t>Rango No permitido Superior</t>
  </si>
  <si>
    <t>Rango No Dato</t>
  </si>
  <si>
    <t>Utilidad Operativa</t>
  </si>
  <si>
    <t>Utilidad Neta</t>
  </si>
  <si>
    <t>MES</t>
  </si>
  <si>
    <t>5 y 6</t>
  </si>
  <si>
    <t>8 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</si>
</sst>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(#,##0\)_-;_-* &quot;-&quot;_-;_-@_-"/>
    <numFmt numFmtId="165" formatCode="0&quot;E&quot;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0_ ;[Red]\-#,##0.00\ "/>
    <numFmt numFmtId="170" formatCode="&quot;S/&quot;#,##0.0"/>
    <numFmt numFmtId="171" formatCode="0.000"/>
  </numFmts>
  <fonts count="23" x14ac:knownFonts="1">
    <font>
      <sz val="10"/>
      <color theme="1"/>
      <name val="Cambria"/>
      <family val="2"/>
    </font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20"/>
      <color theme="1" tint="0.249977111117893"/>
      <name val="Arial"/>
      <family val="2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sz val="8"/>
      <name val="Cambria"/>
      <family val="2"/>
    </font>
    <font>
      <sz val="10"/>
      <color theme="0"/>
      <name val="Arial"/>
      <family val="2"/>
    </font>
    <font>
      <sz val="10"/>
      <color theme="1"/>
      <name val="Cambria"/>
      <family val="1"/>
    </font>
    <font>
      <b/>
      <sz val="10"/>
      <color theme="0"/>
      <name val="Cambria"/>
      <family val="1"/>
    </font>
    <font>
      <b/>
      <sz val="14"/>
      <color rgb="FF00206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0" applyFont="1"/>
    <xf numFmtId="43" fontId="3" fillId="0" borderId="0" xfId="1" applyFont="1" applyFill="1" applyBorder="1" applyProtection="1">
      <protection locked="0"/>
    </xf>
    <xf numFmtId="0" fontId="3" fillId="0" borderId="0" xfId="0" applyFont="1" applyAlignment="1">
      <alignment vertical="center"/>
    </xf>
    <xf numFmtId="167" fontId="5" fillId="0" borderId="0" xfId="1" applyNumberFormat="1" applyFont="1" applyProtection="1">
      <protection locked="0"/>
    </xf>
    <xf numFmtId="0" fontId="5" fillId="0" borderId="0" xfId="0" applyFont="1"/>
    <xf numFmtId="0" fontId="7" fillId="0" borderId="0" xfId="0" applyFont="1"/>
    <xf numFmtId="43" fontId="9" fillId="0" borderId="0" xfId="1" applyFont="1" applyFill="1" applyBorder="1" applyProtection="1">
      <protection locked="0"/>
    </xf>
    <xf numFmtId="43" fontId="5" fillId="0" borderId="0" xfId="1" applyFont="1" applyFill="1" applyBorder="1" applyProtection="1">
      <protection locked="0"/>
    </xf>
    <xf numFmtId="167" fontId="3" fillId="0" borderId="0" xfId="1" applyNumberFormat="1" applyFont="1"/>
    <xf numFmtId="0" fontId="11" fillId="0" borderId="0" xfId="0" applyFont="1" applyAlignment="1">
      <alignment horizontal="left" vertical="center" indent="1"/>
    </xf>
    <xf numFmtId="168" fontId="5" fillId="0" borderId="0" xfId="1" applyNumberFormat="1" applyFont="1" applyProtection="1">
      <protection locked="0"/>
    </xf>
    <xf numFmtId="167" fontId="5" fillId="0" borderId="0" xfId="1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5" fillId="0" borderId="0" xfId="5" applyFont="1"/>
    <xf numFmtId="0" fontId="5" fillId="0" borderId="0" xfId="0" applyFont="1" applyAlignment="1">
      <alignment horizontal="left" indent="1"/>
    </xf>
    <xf numFmtId="43" fontId="3" fillId="0" borderId="0" xfId="0" applyNumberFormat="1" applyFont="1"/>
    <xf numFmtId="43" fontId="9" fillId="0" borderId="0" xfId="2" applyNumberFormat="1" applyFont="1" applyProtection="1">
      <protection locked="0"/>
    </xf>
    <xf numFmtId="0" fontId="5" fillId="0" borderId="0" xfId="0" applyFont="1" applyAlignment="1">
      <alignment horizontal="left"/>
    </xf>
    <xf numFmtId="167" fontId="3" fillId="0" borderId="0" xfId="0" applyNumberFormat="1" applyFont="1"/>
    <xf numFmtId="0" fontId="6" fillId="0" borderId="0" xfId="5" applyFont="1"/>
    <xf numFmtId="0" fontId="5" fillId="0" borderId="0" xfId="5" applyFont="1" applyFill="1"/>
    <xf numFmtId="0" fontId="5" fillId="0" borderId="0" xfId="0" applyFont="1" applyFill="1" applyAlignment="1">
      <alignment horizontal="left" indent="1"/>
    </xf>
    <xf numFmtId="9" fontId="9" fillId="0" borderId="0" xfId="2" applyFont="1" applyProtection="1">
      <protection locked="0"/>
    </xf>
    <xf numFmtId="0" fontId="5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8" fillId="0" borderId="0" xfId="0" applyFont="1"/>
    <xf numFmtId="0" fontId="14" fillId="0" borderId="0" xfId="0" applyFont="1"/>
    <xf numFmtId="0" fontId="5" fillId="0" borderId="0" xfId="0" applyFont="1" applyFill="1" applyBorder="1"/>
    <xf numFmtId="0" fontId="5" fillId="0" borderId="3" xfId="0" applyFont="1" applyFill="1" applyBorder="1"/>
    <xf numFmtId="0" fontId="3" fillId="0" borderId="3" xfId="0" applyFont="1" applyBorder="1"/>
    <xf numFmtId="167" fontId="3" fillId="0" borderId="3" xfId="1" applyNumberFormat="1" applyFont="1" applyBorder="1"/>
    <xf numFmtId="10" fontId="3" fillId="0" borderId="0" xfId="0" applyNumberFormat="1" applyFont="1"/>
    <xf numFmtId="0" fontId="3" fillId="0" borderId="4" xfId="0" applyFont="1" applyBorder="1"/>
    <xf numFmtId="10" fontId="3" fillId="0" borderId="4" xfId="0" applyNumberFormat="1" applyFont="1" applyBorder="1"/>
    <xf numFmtId="167" fontId="3" fillId="0" borderId="4" xfId="0" applyNumberFormat="1" applyFont="1" applyBorder="1"/>
    <xf numFmtId="0" fontId="10" fillId="0" borderId="5" xfId="0" applyFont="1" applyBorder="1"/>
    <xf numFmtId="167" fontId="3" fillId="0" borderId="3" xfId="0" applyNumberFormat="1" applyFont="1" applyBorder="1"/>
    <xf numFmtId="167" fontId="10" fillId="0" borderId="5" xfId="0" applyNumberFormat="1" applyFont="1" applyBorder="1"/>
    <xf numFmtId="166" fontId="3" fillId="0" borderId="0" xfId="2" applyNumberFormat="1" applyFont="1"/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/>
    <xf numFmtId="0" fontId="10" fillId="0" borderId="7" xfId="0" applyFont="1" applyBorder="1"/>
    <xf numFmtId="167" fontId="10" fillId="0" borderId="8" xfId="0" applyNumberFormat="1" applyFont="1" applyBorder="1"/>
    <xf numFmtId="43" fontId="3" fillId="0" borderId="0" xfId="1" applyFont="1" applyBorder="1" applyAlignment="1">
      <alignment vertical="center"/>
    </xf>
    <xf numFmtId="167" fontId="3" fillId="0" borderId="3" xfId="0" applyNumberFormat="1" applyFont="1" applyFill="1" applyBorder="1"/>
    <xf numFmtId="0" fontId="15" fillId="0" borderId="0" xfId="0" applyFont="1"/>
    <xf numFmtId="10" fontId="3" fillId="0" borderId="0" xfId="2" applyNumberFormat="1" applyFont="1" applyFill="1" applyBorder="1" applyProtection="1">
      <protection locked="0"/>
    </xf>
    <xf numFmtId="9" fontId="3" fillId="0" borderId="0" xfId="2" applyFont="1" applyFill="1" applyBorder="1" applyProtection="1">
      <protection locked="0"/>
    </xf>
    <xf numFmtId="1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9" fontId="3" fillId="0" borderId="11" xfId="0" applyNumberFormat="1" applyFont="1" applyBorder="1"/>
    <xf numFmtId="0" fontId="11" fillId="2" borderId="0" xfId="0" applyFont="1" applyFill="1" applyAlignment="1">
      <alignment vertical="center"/>
    </xf>
    <xf numFmtId="167" fontId="5" fillId="2" borderId="0" xfId="1" applyNumberFormat="1" applyFont="1" applyFill="1" applyProtection="1">
      <protection locked="0"/>
    </xf>
    <xf numFmtId="0" fontId="12" fillId="2" borderId="0" xfId="0" applyFont="1" applyFill="1" applyAlignment="1">
      <alignment horizontal="left" vertical="center"/>
    </xf>
    <xf numFmtId="167" fontId="6" fillId="2" borderId="0" xfId="1" applyNumberFormat="1" applyFont="1" applyFill="1" applyBorder="1" applyProtection="1">
      <protection locked="0"/>
    </xf>
    <xf numFmtId="167" fontId="5" fillId="2" borderId="0" xfId="1" applyNumberFormat="1" applyFont="1" applyFill="1" applyBorder="1" applyProtection="1">
      <protection locked="0"/>
    </xf>
    <xf numFmtId="164" fontId="13" fillId="2" borderId="2" xfId="3" applyNumberFormat="1" applyFont="1" applyFill="1" applyBorder="1" applyProtection="1">
      <protection locked="0"/>
    </xf>
    <xf numFmtId="167" fontId="5" fillId="2" borderId="2" xfId="1" applyNumberFormat="1" applyFont="1" applyFill="1" applyBorder="1" applyProtection="1">
      <protection locked="0"/>
    </xf>
    <xf numFmtId="167" fontId="6" fillId="2" borderId="2" xfId="1" applyNumberFormat="1" applyFont="1" applyFill="1" applyBorder="1" applyProtection="1">
      <protection locked="0"/>
    </xf>
    <xf numFmtId="0" fontId="5" fillId="2" borderId="1" xfId="5" applyFont="1" applyFill="1" applyBorder="1"/>
    <xf numFmtId="0" fontId="3" fillId="2" borderId="1" xfId="0" applyFont="1" applyFill="1" applyBorder="1"/>
    <xf numFmtId="167" fontId="3" fillId="2" borderId="1" xfId="0" applyNumberFormat="1" applyFont="1" applyFill="1" applyBorder="1"/>
    <xf numFmtId="0" fontId="5" fillId="2" borderId="0" xfId="5" applyFont="1" applyFill="1"/>
    <xf numFmtId="0" fontId="3" fillId="2" borderId="0" xfId="0" applyFont="1" applyFill="1"/>
    <xf numFmtId="167" fontId="3" fillId="2" borderId="0" xfId="0" applyNumberFormat="1" applyFont="1" applyFill="1"/>
    <xf numFmtId="0" fontId="6" fillId="2" borderId="2" xfId="5" applyFont="1" applyFill="1" applyBorder="1"/>
    <xf numFmtId="0" fontId="3" fillId="2" borderId="2" xfId="0" applyFont="1" applyFill="1" applyBorder="1"/>
    <xf numFmtId="167" fontId="10" fillId="2" borderId="2" xfId="0" applyNumberFormat="1" applyFont="1" applyFill="1" applyBorder="1"/>
    <xf numFmtId="0" fontId="5" fillId="2" borderId="1" xfId="0" applyFont="1" applyFill="1" applyBorder="1"/>
    <xf numFmtId="169" fontId="6" fillId="2" borderId="1" xfId="5" applyNumberFormat="1" applyFont="1" applyFill="1" applyBorder="1"/>
    <xf numFmtId="0" fontId="10" fillId="2" borderId="1" xfId="0" applyFont="1" applyFill="1" applyBorder="1"/>
    <xf numFmtId="167" fontId="10" fillId="2" borderId="1" xfId="0" applyNumberFormat="1" applyFont="1" applyFill="1" applyBorder="1"/>
    <xf numFmtId="0" fontId="6" fillId="2" borderId="2" xfId="0" applyFont="1" applyFill="1" applyBorder="1"/>
    <xf numFmtId="0" fontId="5" fillId="2" borderId="0" xfId="0" applyFont="1" applyFill="1" applyAlignment="1">
      <alignment horizontal="left"/>
    </xf>
    <xf numFmtId="167" fontId="3" fillId="2" borderId="0" xfId="1" applyNumberFormat="1" applyFont="1" applyFill="1"/>
    <xf numFmtId="0" fontId="10" fillId="2" borderId="0" xfId="0" applyFont="1" applyFill="1"/>
    <xf numFmtId="167" fontId="10" fillId="2" borderId="0" xfId="0" applyNumberFormat="1" applyFont="1" applyFill="1"/>
    <xf numFmtId="0" fontId="10" fillId="2" borderId="5" xfId="0" applyFont="1" applyFill="1" applyBorder="1"/>
    <xf numFmtId="167" fontId="10" fillId="2" borderId="5" xfId="0" applyNumberFormat="1" applyFont="1" applyFill="1" applyBorder="1"/>
    <xf numFmtId="10" fontId="3" fillId="2" borderId="0" xfId="0" applyNumberFormat="1" applyFont="1" applyFill="1"/>
    <xf numFmtId="10" fontId="3" fillId="2" borderId="0" xfId="2" applyNumberFormat="1" applyFont="1" applyFill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" borderId="15" xfId="0" applyFont="1" applyFill="1" applyBorder="1"/>
    <xf numFmtId="0" fontId="0" fillId="3" borderId="0" xfId="0" applyFill="1" applyBorder="1"/>
    <xf numFmtId="0" fontId="0" fillId="3" borderId="16" xfId="0" applyFill="1" applyBorder="1"/>
    <xf numFmtId="0" fontId="17" fillId="4" borderId="13" xfId="0" applyFont="1" applyFill="1" applyBorder="1"/>
    <xf numFmtId="0" fontId="0" fillId="4" borderId="1" xfId="0" applyFill="1" applyBorder="1"/>
    <xf numFmtId="0" fontId="0" fillId="4" borderId="14" xfId="0" applyFill="1" applyBorder="1"/>
    <xf numFmtId="164" fontId="4" fillId="5" borderId="0" xfId="3" applyNumberFormat="1" applyFont="1" applyFill="1" applyAlignment="1" applyProtection="1">
      <protection locked="0"/>
    </xf>
    <xf numFmtId="0" fontId="4" fillId="5" borderId="0" xfId="3" applyNumberFormat="1" applyFont="1" applyFill="1" applyAlignment="1" applyProtection="1">
      <protection locked="0"/>
    </xf>
    <xf numFmtId="165" fontId="4" fillId="5" borderId="0" xfId="3" applyNumberFormat="1" applyFont="1" applyFill="1" applyAlignment="1" applyProtection="1">
      <alignment horizontal="center"/>
      <protection locked="0"/>
    </xf>
    <xf numFmtId="164" fontId="4" fillId="5" borderId="0" xfId="3" applyNumberFormat="1" applyFont="1" applyFill="1" applyBorder="1" applyAlignment="1" applyProtection="1">
      <alignment vertical="center"/>
      <protection locked="0"/>
    </xf>
    <xf numFmtId="164" fontId="19" fillId="5" borderId="0" xfId="3" applyNumberFormat="1" applyFont="1" applyFill="1" applyBorder="1" applyProtection="1">
      <protection locked="0"/>
    </xf>
    <xf numFmtId="0" fontId="3" fillId="0" borderId="0" xfId="0" applyFont="1" applyFill="1"/>
    <xf numFmtId="10" fontId="5" fillId="0" borderId="0" xfId="1" applyNumberFormat="1" applyFont="1" applyFill="1" applyBorder="1" applyProtection="1">
      <protection locked="0"/>
    </xf>
    <xf numFmtId="10" fontId="5" fillId="0" borderId="0" xfId="0" applyNumberFormat="1" applyFont="1" applyFill="1"/>
    <xf numFmtId="10" fontId="6" fillId="0" borderId="2" xfId="0" applyNumberFormat="1" applyFont="1" applyFill="1" applyBorder="1"/>
    <xf numFmtId="0" fontId="5" fillId="0" borderId="0" xfId="0" applyFont="1" applyFill="1"/>
    <xf numFmtId="1" fontId="3" fillId="0" borderId="0" xfId="0" applyNumberFormat="1" applyFont="1" applyFill="1"/>
    <xf numFmtId="0" fontId="16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0" fontId="20" fillId="0" borderId="12" xfId="0" applyNumberFormat="1" applyFont="1" applyBorder="1" applyAlignment="1">
      <alignment horizontal="center" vertical="center"/>
    </xf>
    <xf numFmtId="166" fontId="20" fillId="0" borderId="12" xfId="2" applyNumberFormat="1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21" fillId="7" borderId="12" xfId="0" applyFont="1" applyFill="1" applyBorder="1" applyAlignment="1">
      <alignment horizontal="center"/>
    </xf>
    <xf numFmtId="0" fontId="21" fillId="7" borderId="12" xfId="0" applyFont="1" applyFill="1" applyBorder="1" applyAlignment="1">
      <alignment horizontal="left"/>
    </xf>
    <xf numFmtId="0" fontId="21" fillId="8" borderId="12" xfId="0" applyFont="1" applyFill="1" applyBorder="1" applyAlignment="1">
      <alignment horizontal="left"/>
    </xf>
    <xf numFmtId="0" fontId="21" fillId="8" borderId="12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171" fontId="16" fillId="0" borderId="12" xfId="0" applyNumberFormat="1" applyFont="1" applyBorder="1" applyAlignment="1">
      <alignment horizontal="center"/>
    </xf>
    <xf numFmtId="0" fontId="0" fillId="5" borderId="0" xfId="0" applyFill="1"/>
    <xf numFmtId="0" fontId="22" fillId="3" borderId="12" xfId="0" applyFont="1" applyFill="1" applyBorder="1" applyAlignment="1">
      <alignment horizontal="center"/>
    </xf>
    <xf numFmtId="0" fontId="22" fillId="9" borderId="12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/>
  </cellXfs>
  <cellStyles count="6">
    <cellStyle name="Comma 4" xfId="3" xr:uid="{B4E4215A-124C-4D90-B543-747A99E7011A}"/>
    <cellStyle name="Millares" xfId="1" builtinId="3"/>
    <cellStyle name="Normal" xfId="0" builtinId="0"/>
    <cellStyle name="Normal 2" xfId="5" xr:uid="{8E86DE7D-59F4-4AD9-BE77-8CB32BA64F57}"/>
    <cellStyle name="Percent 4" xfId="4" xr:uid="{C840D144-836E-421D-AE8E-27CF70BFBFD0}"/>
    <cellStyle name="Porcentaje" xfId="2" builtinId="5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A-4CAF-BA80-6F854A98E457}"/>
              </c:ext>
            </c:extLst>
          </c:dPt>
          <c:val>
            <c:numRef>
              <c:f>Calculos!$D$52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A-4CAF-BA80-6F854A98E45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AA-4CAF-BA80-6F854A98E457}"/>
              </c:ext>
            </c:extLst>
          </c:dPt>
          <c:val>
            <c:numRef>
              <c:f>Calculos!$D$53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A-4CAF-BA80-6F854A98E45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A-4CAF-BA80-6F854A98E457}"/>
              </c:ext>
            </c:extLst>
          </c:dPt>
          <c:val>
            <c:numRef>
              <c:f>Calculos!$D$54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AA-4CAF-BA80-6F854A98E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02480"/>
        <c:axId val="40805808"/>
      </c:barChart>
      <c:catAx>
        <c:axId val="4080248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805808"/>
        <c:crosses val="autoZero"/>
        <c:auto val="1"/>
        <c:lblAlgn val="ctr"/>
        <c:lblOffset val="100"/>
        <c:noMultiLvlLbl val="0"/>
      </c:catAx>
      <c:valAx>
        <c:axId val="40805808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08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000" b="1"/>
              <a:t>3. Ventas  Totales, compuesta por costos directos en indirectos por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5114155251141551E-2"/>
          <c:y val="0.17081412389290349"/>
          <c:w val="0.94977168949771684"/>
          <c:h val="0.58481464760639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Calculos!$A$4</c:f>
              <c:strCache>
                <c:ptCount val="1"/>
                <c:pt idx="0">
                  <c:v>Ventas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Calculos!$C$2:$J$2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Calculos!$C$4:$J$4</c:f>
              <c:numCache>
                <c:formatCode>"S/"#,##0.0</c:formatCode>
                <c:ptCount val="8"/>
                <c:pt idx="0">
                  <c:v>110250</c:v>
                </c:pt>
                <c:pt idx="1">
                  <c:v>121826.24999999999</c:v>
                </c:pt>
                <c:pt idx="2">
                  <c:v>114618.00625000001</c:v>
                </c:pt>
                <c:pt idx="3">
                  <c:v>148752.89690624998</c:v>
                </c:pt>
                <c:pt idx="4">
                  <c:v>134371.951081406</c:v>
                </c:pt>
                <c:pt idx="5">
                  <c:v>151631.005944954</c:v>
                </c:pt>
                <c:pt idx="6">
                  <c:v>131702.26156917401</c:v>
                </c:pt>
                <c:pt idx="7">
                  <c:v>155775.999033937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3-4622-96EA-5AE1695B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897920576"/>
        <c:axId val="1897920160"/>
      </c:barChart>
      <c:lineChart>
        <c:grouping val="stacked"/>
        <c:varyColors val="0"/>
        <c:ser>
          <c:idx val="1"/>
          <c:order val="1"/>
          <c:tx>
            <c:strRef>
              <c:f>Calculos!$A$5</c:f>
              <c:strCache>
                <c:ptCount val="1"/>
                <c:pt idx="0">
                  <c:v>Costos Directos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22225" cmpd="dbl">
                <a:solidFill>
                  <a:srgbClr val="FF0000"/>
                </a:solidFill>
              </a:ln>
              <a:effectLst/>
            </c:spPr>
          </c:marker>
          <c:cat>
            <c:strRef>
              <c:f>Calculos!$C$2:$J$2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Calculos!$C$5:$J$5</c:f>
              <c:numCache>
                <c:formatCode>"S/"#,##0.0</c:formatCode>
                <c:ptCount val="8"/>
                <c:pt idx="0">
                  <c:v>55398</c:v>
                </c:pt>
                <c:pt idx="1">
                  <c:v>61214.789999999994</c:v>
                </c:pt>
                <c:pt idx="2">
                  <c:v>67642.342949999991</c:v>
                </c:pt>
                <c:pt idx="3">
                  <c:v>74744.788959749989</c:v>
                </c:pt>
                <c:pt idx="4">
                  <c:v>82592.991800523727</c:v>
                </c:pt>
                <c:pt idx="5">
                  <c:v>91265.25593957871</c:v>
                </c:pt>
                <c:pt idx="6">
                  <c:v>100848.10781323447</c:v>
                </c:pt>
                <c:pt idx="7">
                  <c:v>111437.1591336241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3-4622-96EA-5AE1695B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920576"/>
        <c:axId val="1897920160"/>
      </c:lineChart>
      <c:lineChart>
        <c:grouping val="stacked"/>
        <c:varyColors val="0"/>
        <c:ser>
          <c:idx val="2"/>
          <c:order val="2"/>
          <c:tx>
            <c:strRef>
              <c:f>Calculos!$A$6</c:f>
              <c:strCache>
                <c:ptCount val="1"/>
                <c:pt idx="0">
                  <c:v>Costos Indirectos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70C0"/>
              </a:solidFill>
              <a:ln w="25400" cmpd="dbl">
                <a:solidFill>
                  <a:srgbClr val="0070C0"/>
                </a:solidFill>
              </a:ln>
              <a:effectLst/>
            </c:spPr>
          </c:marker>
          <c:cat>
            <c:strRef>
              <c:f>Calculos!$C$2:$J$2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Calculos!$C$6:$J$6</c:f>
              <c:numCache>
                <c:formatCode>"S/"#,##0.0</c:formatCode>
                <c:ptCount val="8"/>
                <c:pt idx="0">
                  <c:v>45189.375</c:v>
                </c:pt>
                <c:pt idx="1">
                  <c:v>49327.884374999994</c:v>
                </c:pt>
                <c:pt idx="2">
                  <c:v>50750.937234375</c:v>
                </c:pt>
                <c:pt idx="3">
                  <c:v>58954.160643984367</c:v>
                </c:pt>
                <c:pt idx="4">
                  <c:v>59812.972511602682</c:v>
                </c:pt>
                <c:pt idx="5">
                  <c:v>65983.084625321033</c:v>
                </c:pt>
                <c:pt idx="6">
                  <c:v>66658.55851097971</c:v>
                </c:pt>
                <c:pt idx="7">
                  <c:v>74664.919654632526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3-4622-96EA-5AE1695B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13456"/>
        <c:axId val="533212624"/>
      </c:lineChart>
      <c:catAx>
        <c:axId val="18979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7920160"/>
        <c:crosses val="autoZero"/>
        <c:auto val="1"/>
        <c:lblAlgn val="ctr"/>
        <c:lblOffset val="100"/>
        <c:noMultiLvlLbl val="0"/>
      </c:catAx>
      <c:valAx>
        <c:axId val="1897920160"/>
        <c:scaling>
          <c:orientation val="minMax"/>
        </c:scaling>
        <c:delete val="1"/>
        <c:axPos val="l"/>
        <c:numFmt formatCode="&quot;S/&quot;#,##0.0" sourceLinked="1"/>
        <c:majorTickMark val="none"/>
        <c:minorTickMark val="none"/>
        <c:tickLblPos val="nextTo"/>
        <c:crossAx val="1897920576"/>
        <c:crosses val="autoZero"/>
        <c:crossBetween val="between"/>
      </c:valAx>
      <c:valAx>
        <c:axId val="533212624"/>
        <c:scaling>
          <c:orientation val="minMax"/>
        </c:scaling>
        <c:delete val="1"/>
        <c:axPos val="r"/>
        <c:numFmt formatCode="&quot;S/&quot;#,##0.0" sourceLinked="1"/>
        <c:majorTickMark val="out"/>
        <c:minorTickMark val="none"/>
        <c:tickLblPos val="nextTo"/>
        <c:crossAx val="533213456"/>
        <c:crosses val="max"/>
        <c:crossBetween val="between"/>
      </c:valAx>
      <c:catAx>
        <c:axId val="53321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21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000" b="1"/>
              <a:t>Total de Activos vs</a:t>
            </a:r>
            <a:r>
              <a:rPr lang="es-PE" sz="1000" b="1" baseline="0"/>
              <a:t> Total Pasicos y Patrimonio Neto por meses</a:t>
            </a:r>
            <a:endParaRPr lang="es-PE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Calculos!$A$12</c:f>
              <c:strCache>
                <c:ptCount val="1"/>
                <c:pt idx="0">
                  <c:v>Total Activos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solidFill>
                <a:srgbClr val="00B050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Calculos!$C$2:$J$2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Calculos!$C$12:$J$12</c:f>
              <c:numCache>
                <c:formatCode>"S/"#,##0.0</c:formatCode>
                <c:ptCount val="8"/>
                <c:pt idx="0">
                  <c:v>296874.375</c:v>
                </c:pt>
                <c:pt idx="1">
                  <c:v>289521.68437500001</c:v>
                </c:pt>
                <c:pt idx="2">
                  <c:v>263431.46123437502</c:v>
                </c:pt>
                <c:pt idx="3">
                  <c:v>278581.01466398436</c:v>
                </c:pt>
                <c:pt idx="4">
                  <c:v>245336.02120370249</c:v>
                </c:pt>
                <c:pt idx="5">
                  <c:v>243651.92843009162</c:v>
                </c:pt>
                <c:pt idx="6">
                  <c:v>204873.00591525107</c:v>
                </c:pt>
                <c:pt idx="7">
                  <c:v>209986.55903635218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2-4EE3-8102-E814F02AA318}"/>
            </c:ext>
          </c:extLst>
        </c:ser>
        <c:ser>
          <c:idx val="1"/>
          <c:order val="1"/>
          <c:tx>
            <c:strRef>
              <c:f>Calculos!$A$16</c:f>
              <c:strCache>
                <c:ptCount val="1"/>
                <c:pt idx="0">
                  <c:v>Total Pasivo y Patrimonio Neto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solidFill>
                <a:srgbClr val="FF0000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Calculos!$C$2:$J$2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Calculos!$C$16:$J$16</c:f>
              <c:numCache>
                <c:formatCode>"S/"#,##0.0</c:formatCode>
                <c:ptCount val="8"/>
                <c:pt idx="0">
                  <c:v>296874.375</c:v>
                </c:pt>
                <c:pt idx="1">
                  <c:v>289521.68437500001</c:v>
                </c:pt>
                <c:pt idx="2">
                  <c:v>275900.21123437502</c:v>
                </c:pt>
                <c:pt idx="3">
                  <c:v>278581.01466398436</c:v>
                </c:pt>
                <c:pt idx="4">
                  <c:v>264039.14620370261</c:v>
                </c:pt>
                <c:pt idx="5">
                  <c:v>262355.05343009153</c:v>
                </c:pt>
                <c:pt idx="6">
                  <c:v>247890.19341525109</c:v>
                </c:pt>
                <c:pt idx="7">
                  <c:v>251133.43403635235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2-4EE3-8102-E814F02A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015056"/>
        <c:axId val="674012976"/>
      </c:barChart>
      <c:catAx>
        <c:axId val="67401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74012976"/>
        <c:crosses val="autoZero"/>
        <c:auto val="1"/>
        <c:lblAlgn val="ctr"/>
        <c:lblOffset val="100"/>
        <c:noMultiLvlLbl val="0"/>
      </c:catAx>
      <c:valAx>
        <c:axId val="674012976"/>
        <c:scaling>
          <c:orientation val="minMax"/>
        </c:scaling>
        <c:delete val="1"/>
        <c:axPos val="l"/>
        <c:numFmt formatCode="&quot;S/&quot;#,##0.0" sourceLinked="1"/>
        <c:majorTickMark val="none"/>
        <c:minorTickMark val="none"/>
        <c:tickLblPos val="nextTo"/>
        <c:crossAx val="67401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txData>
          <cx:v>1. Ventas  Totales, compuesta por costos directos en indirectos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50" b="1"/>
          </a:pPr>
          <a:r>
            <a:rPr lang="es-ES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1. Ventas  Totales, compuesta por costos directos en indirectos</a:t>
          </a:r>
        </a:p>
      </cx:txPr>
    </cx:title>
    <cx:plotArea>
      <cx:plotAreaRegion>
        <cx:series layoutId="treemap" uniqueId="{A6E353E7-3979-4C52-9696-618375479DEB}">
          <cx:dataPt idx="0">
            <cx:spPr>
              <a:solidFill>
                <a:srgbClr val="70AD47"/>
              </a:solidFill>
            </cx:spPr>
          </cx:dataPt>
          <cx:dataPt idx="2">
            <cx:spPr>
              <a:solidFill>
                <a:srgbClr val="0070C0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/>
                </a:pPr>
                <a:endParaRPr lang="es-ES" sz="1000" b="1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4. Utilidad operativa vs Utilidad neta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900" b="1"/>
          </a:pPr>
          <a:r>
            <a:rPr lang="es-ES" sz="9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4. Utilidad operativa vs Utilidad neta</a:t>
          </a:r>
        </a:p>
      </cx:txPr>
    </cx:title>
    <cx:plotArea>
      <cx:plotAreaRegion>
        <cx:series layoutId="waterfall" uniqueId="{D6369811-9AA3-40B1-9FC1-FB79BE3C1E9A}">
          <cx:dataPt idx="0">
            <cx:spPr>
              <a:solidFill>
                <a:srgbClr val="0070C0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/>
                </a:pPr>
                <a:endPara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900" b="1"/>
            </a:pPr>
            <a:endParaRPr lang="es-ES" sz="9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5. Total Activo,Total Activos Corriente vs Total Activos No Corrientes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PE" sz="10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5. Total Activo,Total Activos Corriente vs Total Activos No Corrientes</a:t>
          </a:r>
        </a:p>
      </cx:txPr>
    </cx:title>
    <cx:plotArea>
      <cx:plotAreaRegion>
        <cx:series layoutId="treemap" uniqueId="{79661844-616F-47B0-8BB7-6B78BCD04B27}">
          <cx:dataPt idx="1">
            <cx:spPr>
              <a:solidFill>
                <a:srgbClr val="C00000"/>
              </a:solidFill>
            </cx:spPr>
          </cx:dataPt>
          <cx:dataPt idx="2">
            <cx:spPr>
              <a:solidFill>
                <a:srgbClr val="70AD47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s-ES" sz="900" b="1" i="0" u="none" strike="noStrike" kern="1200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txData>
          <cx:v>8. Total Pasivo y Patrimonio Neto, Total pasivos corrientes vs Total Pasivos vs Patrimonio Neto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 b="1"/>
          </a:pPr>
          <a:r>
            <a:rPr lang="es-ES" sz="10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8. Total Pasivo y Patrimonio Neto, Total pasivos corrientes vs Total Pasivos vs Patrimonio Neto</a:t>
          </a:r>
        </a:p>
      </cx:txPr>
    </cx:title>
    <cx:plotArea>
      <cx:plotAreaRegion>
        <cx:series layoutId="treemap" uniqueId="{E9699FCC-5A13-4A8A-980F-379A00FF229A}">
          <cx:spPr>
            <a:solidFill>
              <a:srgbClr val="70AD47"/>
            </a:solidFill>
          </cx:spPr>
          <cx:dataPt idx="0">
            <cx:spPr>
              <a:solidFill>
                <a:srgbClr val="FFC000">
                  <a:lumMod val="75000"/>
                </a:srgbClr>
              </a:solidFill>
            </cx:spPr>
          </cx:dataPt>
          <cx:dataPt idx="1">
            <cx:spPr>
              <a:solidFill>
                <a:srgbClr val="002060"/>
              </a:solidFill>
            </cx:spPr>
          </cx:dataPt>
          <cx:dataPt idx="2">
            <cx:spPr>
              <a:solidFill>
                <a:srgbClr val="0070C0"/>
              </a:solidFill>
            </cx:spPr>
          </cx:dataPt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/>
                </a:pPr>
                <a:endParaRPr lang="es-ES" sz="900" b="1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txData>
          <cx:v>12. NOPAT vs EVA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 b="1"/>
          </a:pPr>
          <a:r>
            <a:rPr lang="es-ES" sz="10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12. NOPAT vs EVA </a:t>
          </a:r>
        </a:p>
      </cx:txPr>
    </cx:title>
    <cx:plotArea>
      <cx:plotAreaRegion>
        <cx:series layoutId="waterfall" uniqueId="{9E25CE44-B1DB-4150-B88D-45C0F24B9B77}">
          <cx:dataPt idx="0">
            <cx:spPr>
              <a:solidFill>
                <a:srgbClr val="70AD47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Labels pos="ctr"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endParaRPr lang="es-ES" sz="9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8" Type="http://schemas.microsoft.com/office/2014/relationships/chartEx" Target="../charts/chartEx5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microsoft.com/office/2014/relationships/chartEx" Target="../charts/chartEx4.xml"/><Relationship Id="rId5" Type="http://schemas.microsoft.com/office/2014/relationships/chartEx" Target="../charts/chartEx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143608</xdr:colOff>
      <xdr:row>49</xdr:row>
      <xdr:rowOff>128956</xdr:rowOff>
    </xdr:from>
    <xdr:to>
      <xdr:col>0</xdr:col>
      <xdr:colOff>732692</xdr:colOff>
      <xdr:row>52</xdr:row>
      <xdr:rowOff>73272</xdr:rowOff>
    </xdr:to>
    <xdr:sp macro="" textlink="">
      <xdr:nvSpPr>
        <xdr:cNvPr id="5" name="Triángulo isósceles 4">
          <a:extLst>
            <a:ext uri="{FF2B5EF4-FFF2-40B4-BE49-F238E27FC236}">
              <a16:creationId xmlns:a16="http://schemas.microsoft.com/office/drawing/2014/main" id="{D2915BBC-7FE2-402B-8825-8012212896BE}"/>
            </a:ext>
          </a:extLst>
        </xdr:cNvPr>
        <xdr:cNvSpPr/>
      </xdr:nvSpPr>
      <xdr:spPr>
        <a:xfrm>
          <a:off x="143608" y="7740164"/>
          <a:ext cx="589084" cy="410308"/>
        </a:xfrm>
        <a:prstGeom prst="triangle">
          <a:avLst/>
        </a:prstGeom>
        <a:solidFill>
          <a:srgbClr val="FF0000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1257301</xdr:colOff>
      <xdr:row>50</xdr:row>
      <xdr:rowOff>5864</xdr:rowOff>
    </xdr:from>
    <xdr:to>
      <xdr:col>0</xdr:col>
      <xdr:colOff>1846385</xdr:colOff>
      <xdr:row>52</xdr:row>
      <xdr:rowOff>105510</xdr:rowOff>
    </xdr:to>
    <xdr:sp macro="" textlink="">
      <xdr:nvSpPr>
        <xdr:cNvPr id="6" name="Triángulo isósceles 5">
          <a:extLst>
            <a:ext uri="{FF2B5EF4-FFF2-40B4-BE49-F238E27FC236}">
              <a16:creationId xmlns:a16="http://schemas.microsoft.com/office/drawing/2014/main" id="{900F2191-9BA6-49A7-A165-93D955C910E5}"/>
            </a:ext>
          </a:extLst>
        </xdr:cNvPr>
        <xdr:cNvSpPr/>
      </xdr:nvSpPr>
      <xdr:spPr>
        <a:xfrm flipV="1">
          <a:off x="1257301" y="7772402"/>
          <a:ext cx="589084" cy="410308"/>
        </a:xfrm>
        <a:prstGeom prst="triangle">
          <a:avLst/>
        </a:prstGeom>
        <a:solidFill>
          <a:srgbClr val="FF0000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342901</xdr:colOff>
      <xdr:row>53</xdr:row>
      <xdr:rowOff>146540</xdr:rowOff>
    </xdr:from>
    <xdr:to>
      <xdr:col>0</xdr:col>
      <xdr:colOff>808892</xdr:colOff>
      <xdr:row>56</xdr:row>
      <xdr:rowOff>90856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6691D259-DC73-44AC-9C76-AF788080294D}"/>
            </a:ext>
          </a:extLst>
        </xdr:cNvPr>
        <xdr:cNvSpPr/>
      </xdr:nvSpPr>
      <xdr:spPr>
        <a:xfrm>
          <a:off x="342901" y="8379071"/>
          <a:ext cx="465991" cy="410308"/>
        </a:xfrm>
        <a:prstGeom prst="ellipse">
          <a:avLst/>
        </a:prstGeom>
        <a:solidFill>
          <a:srgbClr val="00B050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43396" cy="46801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41C305A-AFC3-4F2E-A23E-B454230A77E8}"/>
            </a:ext>
          </a:extLst>
        </xdr:cNvPr>
        <xdr:cNvSpPr txBox="1"/>
      </xdr:nvSpPr>
      <xdr:spPr>
        <a:xfrm>
          <a:off x="0" y="0"/>
          <a:ext cx="4443396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400" b="1">
              <a:solidFill>
                <a:schemeClr val="bg1"/>
              </a:solidFill>
            </a:rPr>
            <a:t>Dashboard Económico Financiero</a:t>
          </a:r>
        </a:p>
      </xdr:txBody>
    </xdr:sp>
    <xdr:clientData/>
  </xdr:oneCellAnchor>
  <xdr:twoCellAnchor>
    <xdr:from>
      <xdr:col>0</xdr:col>
      <xdr:colOff>83820</xdr:colOff>
      <xdr:row>5</xdr:row>
      <xdr:rowOff>106680</xdr:rowOff>
    </xdr:from>
    <xdr:to>
      <xdr:col>2</xdr:col>
      <xdr:colOff>685800</xdr:colOff>
      <xdr:row>16</xdr:row>
      <xdr:rowOff>148590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9DEBC406-39F1-4C3D-BC6B-B3E0866B33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20" y="952500"/>
              <a:ext cx="2065020" cy="1760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41910</xdr:colOff>
      <xdr:row>5</xdr:row>
      <xdr:rowOff>106680</xdr:rowOff>
    </xdr:from>
    <xdr:to>
      <xdr:col>5</xdr:col>
      <xdr:colOff>11430</xdr:colOff>
      <xdr:row>16</xdr:row>
      <xdr:rowOff>148590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F005E4A-D750-4C4B-A6DB-DF99CF82BED1}"/>
            </a:ext>
          </a:extLst>
        </xdr:cNvPr>
        <xdr:cNvSpPr/>
      </xdr:nvSpPr>
      <xdr:spPr>
        <a:xfrm>
          <a:off x="2236470" y="952500"/>
          <a:ext cx="1432560" cy="176022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26670</xdr:colOff>
      <xdr:row>11</xdr:row>
      <xdr:rowOff>68580</xdr:rowOff>
    </xdr:from>
    <xdr:to>
      <xdr:col>4</xdr:col>
      <xdr:colOff>697230</xdr:colOff>
      <xdr:row>15</xdr:row>
      <xdr:rowOff>114299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A450CA-5E6E-48E5-91CE-0FC5C1F49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186691</xdr:colOff>
      <xdr:row>6</xdr:row>
      <xdr:rowOff>99060</xdr:rowOff>
    </xdr:from>
    <xdr:ext cx="1184909" cy="56188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7D38533-8DB4-4463-A81A-57C9C69BBADF}"/>
            </a:ext>
          </a:extLst>
        </xdr:cNvPr>
        <xdr:cNvSpPr txBox="1"/>
      </xdr:nvSpPr>
      <xdr:spPr>
        <a:xfrm>
          <a:off x="2381251" y="1101090"/>
          <a:ext cx="1184909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1000" b="1"/>
            <a:t>Variación</a:t>
          </a:r>
          <a:r>
            <a:rPr lang="es-PE" sz="1000" b="1" baseline="0"/>
            <a:t> de Ventas Mes Actual vs Mes Anterior</a:t>
          </a:r>
          <a:endParaRPr lang="es-PE" sz="1000" b="1"/>
        </a:p>
      </xdr:txBody>
    </xdr:sp>
    <xdr:clientData/>
  </xdr:oneCellAnchor>
  <xdr:oneCellAnchor>
    <xdr:from>
      <xdr:col>3</xdr:col>
      <xdr:colOff>171450</xdr:colOff>
      <xdr:row>12</xdr:row>
      <xdr:rowOff>99060</xdr:rowOff>
    </xdr:from>
    <xdr:ext cx="718274" cy="342786"/>
    <xdr:sp macro="" textlink="Calculos!C50">
      <xdr:nvSpPr>
        <xdr:cNvPr id="8" name="CuadroTexto 7">
          <a:extLst>
            <a:ext uri="{FF2B5EF4-FFF2-40B4-BE49-F238E27FC236}">
              <a16:creationId xmlns:a16="http://schemas.microsoft.com/office/drawing/2014/main" id="{4CDB5528-6BF8-4DB9-9330-14021FB8654C}"/>
            </a:ext>
          </a:extLst>
        </xdr:cNvPr>
        <xdr:cNvSpPr txBox="1"/>
      </xdr:nvSpPr>
      <xdr:spPr>
        <a:xfrm>
          <a:off x="2366010" y="2038350"/>
          <a:ext cx="71827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5A37D2A7-3692-4C51-8A59-E2D487E1918E}" type="TxLink">
            <a:rPr lang="en-US" sz="1600" b="1" i="0" u="none" strike="noStrike">
              <a:solidFill>
                <a:srgbClr val="000000"/>
              </a:solidFill>
              <a:latin typeface="Cambria"/>
              <a:ea typeface="Cambria"/>
            </a:rPr>
            <a:pPr/>
            <a:t>0.903</a:t>
          </a:fld>
          <a:endParaRPr lang="es-PE" sz="2000"/>
        </a:p>
      </xdr:txBody>
    </xdr:sp>
    <xdr:clientData/>
  </xdr:oneCellAnchor>
  <xdr:twoCellAnchor>
    <xdr:from>
      <xdr:col>0</xdr:col>
      <xdr:colOff>102870</xdr:colOff>
      <xdr:row>17</xdr:row>
      <xdr:rowOff>41910</xdr:rowOff>
    </xdr:from>
    <xdr:to>
      <xdr:col>7</xdr:col>
      <xdr:colOff>613410</xdr:colOff>
      <xdr:row>33</xdr:row>
      <xdr:rowOff>72390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49BEE2B-02D1-4065-A105-D593EEB2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129540</xdr:colOff>
      <xdr:row>5</xdr:row>
      <xdr:rowOff>95250</xdr:rowOff>
    </xdr:from>
    <xdr:to>
      <xdr:col>7</xdr:col>
      <xdr:colOff>640080</xdr:colOff>
      <xdr:row>16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Gráfico 9">
              <a:extLst>
                <a:ext uri="{FF2B5EF4-FFF2-40B4-BE49-F238E27FC236}">
                  <a16:creationId xmlns:a16="http://schemas.microsoft.com/office/drawing/2014/main" id="{3F8D28BC-4F93-408F-8D88-0BE52EFE6C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87140" y="941070"/>
              <a:ext cx="1973580" cy="1775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38100</xdr:colOff>
      <xdr:row>3</xdr:row>
      <xdr:rowOff>34291</xdr:rowOff>
    </xdr:from>
    <xdr:to>
      <xdr:col>7</xdr:col>
      <xdr:colOff>636270</xdr:colOff>
      <xdr:row>5</xdr:row>
      <xdr:rowOff>19050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9A44EBA-4DC6-47FF-9364-8BA68A2DAB8A}"/>
            </a:ext>
          </a:extLst>
        </xdr:cNvPr>
        <xdr:cNvSpPr/>
      </xdr:nvSpPr>
      <xdr:spPr>
        <a:xfrm flipH="1">
          <a:off x="38100" y="567691"/>
          <a:ext cx="5718810" cy="297179"/>
        </a:xfrm>
        <a:prstGeom prst="rect">
          <a:avLst/>
        </a:prstGeom>
        <a:gradFill flip="none" rotWithShape="1">
          <a:gsLst>
            <a:gs pos="32000">
              <a:srgbClr val="A29F30"/>
            </a:gs>
            <a:gs pos="0">
              <a:srgbClr val="6F7C37"/>
            </a:gs>
            <a:gs pos="95000">
              <a:srgbClr val="BBB02C"/>
            </a:gs>
          </a:gsLst>
          <a:lin ang="10800000" scaled="1"/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1400" b="1">
              <a:latin typeface="Arial Narrow" panose="020B0606020202030204" pitchFamily="34" charset="0"/>
            </a:rPr>
            <a:t>ESTADO DE GANANCIAS Y PERDIDAS </a:t>
          </a:r>
        </a:p>
      </xdr:txBody>
    </xdr:sp>
    <xdr:clientData/>
  </xdr:twoCellAnchor>
  <xdr:twoCellAnchor>
    <xdr:from>
      <xdr:col>7</xdr:col>
      <xdr:colOff>662941</xdr:colOff>
      <xdr:row>3</xdr:row>
      <xdr:rowOff>15240</xdr:rowOff>
    </xdr:from>
    <xdr:to>
      <xdr:col>7</xdr:col>
      <xdr:colOff>708660</xdr:colOff>
      <xdr:row>37</xdr:row>
      <xdr:rowOff>140970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530F012-C401-4EA7-BBC0-4A02AD6DC936}"/>
            </a:ext>
          </a:extLst>
        </xdr:cNvPr>
        <xdr:cNvSpPr/>
      </xdr:nvSpPr>
      <xdr:spPr>
        <a:xfrm>
          <a:off x="5783581" y="548640"/>
          <a:ext cx="45719" cy="5436870"/>
        </a:xfrm>
        <a:prstGeom prst="rect">
          <a:avLst/>
        </a:prstGeom>
        <a:gradFill flip="none" rotWithShape="1">
          <a:gsLst>
            <a:gs pos="32000">
              <a:srgbClr val="416586"/>
            </a:gs>
            <a:gs pos="0">
              <a:srgbClr val="2E4765"/>
            </a:gs>
            <a:gs pos="95000">
              <a:srgbClr val="427895"/>
            </a:gs>
          </a:gsLst>
          <a:lin ang="10800000" scaled="1"/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  <a:reflection blurRad="6350" stA="50000" endA="300" endPos="39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 defTabSz="914400" rtl="0" eaLnBrk="1" latinLnBrk="0" hangingPunct="1"/>
          <a:endParaRPr lang="es-PE" sz="18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68580</xdr:colOff>
      <xdr:row>5</xdr:row>
      <xdr:rowOff>110490</xdr:rowOff>
    </xdr:from>
    <xdr:to>
      <xdr:col>11</xdr:col>
      <xdr:colOff>678180</xdr:colOff>
      <xdr:row>19</xdr:row>
      <xdr:rowOff>110490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Gráfico 13">
              <a:extLst>
                <a:ext uri="{FF2B5EF4-FFF2-40B4-BE49-F238E27FC236}">
                  <a16:creationId xmlns:a16="http://schemas.microsoft.com/office/drawing/2014/main" id="{87C271AA-BBE0-443C-9A5A-34FCD686BB54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20740" y="956310"/>
              <a:ext cx="2804160" cy="218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12</xdr:col>
      <xdr:colOff>140970</xdr:colOff>
      <xdr:row>5</xdr:row>
      <xdr:rowOff>114300</xdr:rowOff>
    </xdr:from>
    <xdr:to>
      <xdr:col>16</xdr:col>
      <xdr:colOff>121920</xdr:colOff>
      <xdr:row>19</xdr:row>
      <xdr:rowOff>116160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Gráfico 14">
              <a:extLst>
                <a:ext uri="{FF2B5EF4-FFF2-40B4-BE49-F238E27FC236}">
                  <a16:creationId xmlns:a16="http://schemas.microsoft.com/office/drawing/2014/main" id="{3A94FC85-F50F-44CD-86B0-52885552C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19210" y="960120"/>
              <a:ext cx="2907030" cy="218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8</xdr:col>
      <xdr:colOff>64770</xdr:colOff>
      <xdr:row>20</xdr:row>
      <xdr:rowOff>11430</xdr:rowOff>
    </xdr:from>
    <xdr:to>
      <xdr:col>16</xdr:col>
      <xdr:colOff>144780</xdr:colOff>
      <xdr:row>33</xdr:row>
      <xdr:rowOff>49530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33DD33A-FF1B-4236-98D3-6E24C4369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194311</xdr:colOff>
      <xdr:row>3</xdr:row>
      <xdr:rowOff>15240</xdr:rowOff>
    </xdr:from>
    <xdr:to>
      <xdr:col>16</xdr:col>
      <xdr:colOff>240030</xdr:colOff>
      <xdr:row>37</xdr:row>
      <xdr:rowOff>140970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5EC009B-0210-4508-8BF7-997A20492C04}"/>
            </a:ext>
          </a:extLst>
        </xdr:cNvPr>
        <xdr:cNvSpPr/>
      </xdr:nvSpPr>
      <xdr:spPr>
        <a:xfrm>
          <a:off x="11898631" y="548640"/>
          <a:ext cx="45719" cy="5436870"/>
        </a:xfrm>
        <a:prstGeom prst="rect">
          <a:avLst/>
        </a:prstGeom>
        <a:gradFill flip="none" rotWithShape="1">
          <a:gsLst>
            <a:gs pos="32000">
              <a:srgbClr val="416586"/>
            </a:gs>
            <a:gs pos="0">
              <a:srgbClr val="2E4765"/>
            </a:gs>
            <a:gs pos="95000">
              <a:srgbClr val="427895"/>
            </a:gs>
          </a:gsLst>
          <a:lin ang="10800000" scaled="1"/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  <a:reflection blurRad="6350" stA="50000" endA="300" endPos="39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 defTabSz="914400" rtl="0" eaLnBrk="1" latinLnBrk="0" hangingPunct="1"/>
          <a:endParaRPr lang="es-PE" sz="18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41910</xdr:colOff>
      <xdr:row>3</xdr:row>
      <xdr:rowOff>30481</xdr:rowOff>
    </xdr:from>
    <xdr:to>
      <xdr:col>15</xdr:col>
      <xdr:colOff>640080</xdr:colOff>
      <xdr:row>5</xdr:row>
      <xdr:rowOff>15240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B404E551-BD78-44B1-9E4D-2AFE71114E61}"/>
            </a:ext>
          </a:extLst>
        </xdr:cNvPr>
        <xdr:cNvSpPr/>
      </xdr:nvSpPr>
      <xdr:spPr>
        <a:xfrm flipH="1">
          <a:off x="5894070" y="563881"/>
          <a:ext cx="5718810" cy="297179"/>
        </a:xfrm>
        <a:prstGeom prst="rect">
          <a:avLst/>
        </a:prstGeom>
        <a:gradFill flip="none" rotWithShape="1">
          <a:gsLst>
            <a:gs pos="32000">
              <a:srgbClr val="C64A29"/>
            </a:gs>
            <a:gs pos="0">
              <a:srgbClr val="973A1D"/>
            </a:gs>
            <a:gs pos="95000">
              <a:srgbClr val="DB5F3C"/>
            </a:gs>
          </a:gsLst>
          <a:lin ang="10800000" scaled="1"/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s-MX" sz="1400" b="1" kern="1200">
              <a:solidFill>
                <a:schemeClr val="lt1"/>
              </a:solidFill>
              <a:latin typeface="Arial Narrow" panose="020B0606020202030204" pitchFamily="34" charset="0"/>
              <a:ea typeface="+mn-ea"/>
              <a:cs typeface="+mn-cs"/>
            </a:rPr>
            <a:t>BALANCE GENERAL</a:t>
          </a:r>
        </a:p>
      </xdr:txBody>
    </xdr:sp>
    <xdr:clientData/>
  </xdr:twoCellAnchor>
  <xdr:twoCellAnchor>
    <xdr:from>
      <xdr:col>16</xdr:col>
      <xdr:colOff>358140</xdr:colOff>
      <xdr:row>5</xdr:row>
      <xdr:rowOff>60960</xdr:rowOff>
    </xdr:from>
    <xdr:to>
      <xdr:col>19</xdr:col>
      <xdr:colOff>186690</xdr:colOff>
      <xdr:row>10</xdr:row>
      <xdr:rowOff>22860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960F6606-52B9-47AF-85F3-51FD5921D832}"/>
            </a:ext>
          </a:extLst>
        </xdr:cNvPr>
        <xdr:cNvSpPr/>
      </xdr:nvSpPr>
      <xdr:spPr>
        <a:xfrm>
          <a:off x="12062460" y="906780"/>
          <a:ext cx="2023110" cy="7429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358140</xdr:colOff>
      <xdr:row>28</xdr:row>
      <xdr:rowOff>49530</xdr:rowOff>
    </xdr:from>
    <xdr:to>
      <xdr:col>19</xdr:col>
      <xdr:colOff>186690</xdr:colOff>
      <xdr:row>33</xdr:row>
      <xdr:rowOff>11430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CF367AF6-DA38-4228-B053-FFF904E1DF5F}"/>
            </a:ext>
          </a:extLst>
        </xdr:cNvPr>
        <xdr:cNvSpPr/>
      </xdr:nvSpPr>
      <xdr:spPr>
        <a:xfrm>
          <a:off x="12062460" y="4488180"/>
          <a:ext cx="2023110" cy="7429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358140</xdr:colOff>
      <xdr:row>23</xdr:row>
      <xdr:rowOff>5715</xdr:rowOff>
    </xdr:from>
    <xdr:to>
      <xdr:col>19</xdr:col>
      <xdr:colOff>186690</xdr:colOff>
      <xdr:row>27</xdr:row>
      <xdr:rowOff>123825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E7D9E12-AE05-45DF-A8E2-4A031BA3BA4C}"/>
            </a:ext>
          </a:extLst>
        </xdr:cNvPr>
        <xdr:cNvSpPr/>
      </xdr:nvSpPr>
      <xdr:spPr>
        <a:xfrm>
          <a:off x="12062460" y="3663315"/>
          <a:ext cx="2023110" cy="7429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358140</xdr:colOff>
      <xdr:row>17</xdr:row>
      <xdr:rowOff>118110</xdr:rowOff>
    </xdr:from>
    <xdr:to>
      <xdr:col>19</xdr:col>
      <xdr:colOff>186690</xdr:colOff>
      <xdr:row>22</xdr:row>
      <xdr:rowOff>80010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A21506B9-A678-40E5-9649-78ECE74A2797}"/>
            </a:ext>
          </a:extLst>
        </xdr:cNvPr>
        <xdr:cNvSpPr/>
      </xdr:nvSpPr>
      <xdr:spPr>
        <a:xfrm>
          <a:off x="12062460" y="2838450"/>
          <a:ext cx="2023110" cy="7429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16</xdr:col>
      <xdr:colOff>411481</xdr:colOff>
      <xdr:row>5</xdr:row>
      <xdr:rowOff>83820</xdr:rowOff>
    </xdr:from>
    <xdr:ext cx="1908809" cy="40536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8914CE-0818-4C95-A759-F8CDA1BE6719}"/>
            </a:ext>
          </a:extLst>
        </xdr:cNvPr>
        <xdr:cNvSpPr txBox="1"/>
      </xdr:nvSpPr>
      <xdr:spPr>
        <a:xfrm>
          <a:off x="12115801" y="929640"/>
          <a:ext cx="1908809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1000" b="1"/>
            <a:t>11. Costo de oportunidad de los accionistas </a:t>
          </a:r>
        </a:p>
      </xdr:txBody>
    </xdr:sp>
    <xdr:clientData/>
  </xdr:oneCellAnchor>
  <xdr:oneCellAnchor>
    <xdr:from>
      <xdr:col>16</xdr:col>
      <xdr:colOff>438151</xdr:colOff>
      <xdr:row>17</xdr:row>
      <xdr:rowOff>148590</xdr:rowOff>
    </xdr:from>
    <xdr:ext cx="1908809" cy="248851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ACB28161-BF7F-4C66-933C-A90D23697DDD}"/>
            </a:ext>
          </a:extLst>
        </xdr:cNvPr>
        <xdr:cNvSpPr txBox="1"/>
      </xdr:nvSpPr>
      <xdr:spPr>
        <a:xfrm>
          <a:off x="12142471" y="2868930"/>
          <a:ext cx="190880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1000" b="1"/>
            <a:t>13. TIR</a:t>
          </a:r>
        </a:p>
      </xdr:txBody>
    </xdr:sp>
    <xdr:clientData/>
  </xdr:oneCellAnchor>
  <xdr:oneCellAnchor>
    <xdr:from>
      <xdr:col>16</xdr:col>
      <xdr:colOff>422911</xdr:colOff>
      <xdr:row>23</xdr:row>
      <xdr:rowOff>57150</xdr:rowOff>
    </xdr:from>
    <xdr:ext cx="1908809" cy="248851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08FDEBE-5042-426A-9EE2-9C67BBF6FFC1}"/>
            </a:ext>
          </a:extLst>
        </xdr:cNvPr>
        <xdr:cNvSpPr txBox="1"/>
      </xdr:nvSpPr>
      <xdr:spPr>
        <a:xfrm>
          <a:off x="12127231" y="3714750"/>
          <a:ext cx="190880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1000" b="1"/>
            <a:t>14. WACC</a:t>
          </a:r>
        </a:p>
      </xdr:txBody>
    </xdr:sp>
    <xdr:clientData/>
  </xdr:oneCellAnchor>
  <xdr:oneCellAnchor>
    <xdr:from>
      <xdr:col>16</xdr:col>
      <xdr:colOff>426721</xdr:colOff>
      <xdr:row>28</xdr:row>
      <xdr:rowOff>114300</xdr:rowOff>
    </xdr:from>
    <xdr:ext cx="1908809" cy="248851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3B4BFEBB-F7C7-402C-81AE-0AFEC0364B62}"/>
            </a:ext>
          </a:extLst>
        </xdr:cNvPr>
        <xdr:cNvSpPr txBox="1"/>
      </xdr:nvSpPr>
      <xdr:spPr>
        <a:xfrm>
          <a:off x="12131041" y="4552950"/>
          <a:ext cx="190880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1000" b="1"/>
            <a:t>15. Diferencia</a:t>
          </a:r>
        </a:p>
      </xdr:txBody>
    </xdr:sp>
    <xdr:clientData/>
  </xdr:oneCellAnchor>
  <xdr:oneCellAnchor>
    <xdr:from>
      <xdr:col>16</xdr:col>
      <xdr:colOff>400051</xdr:colOff>
      <xdr:row>7</xdr:row>
      <xdr:rowOff>121920</xdr:rowOff>
    </xdr:from>
    <xdr:ext cx="1908809" cy="374141"/>
    <xdr:sp macro="" textlink="Calculos!B84">
      <xdr:nvSpPr>
        <xdr:cNvPr id="28" name="CuadroTexto 27">
          <a:extLst>
            <a:ext uri="{FF2B5EF4-FFF2-40B4-BE49-F238E27FC236}">
              <a16:creationId xmlns:a16="http://schemas.microsoft.com/office/drawing/2014/main" id="{91A0700E-8A2D-462C-81AA-CAA2DE2D892C}"/>
            </a:ext>
          </a:extLst>
        </xdr:cNvPr>
        <xdr:cNvSpPr txBox="1"/>
      </xdr:nvSpPr>
      <xdr:spPr>
        <a:xfrm>
          <a:off x="12104371" y="1280160"/>
          <a:ext cx="19088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3BB4D7A3-19C3-4D6A-9C40-EF61DD811047}" type="TxLink">
            <a:rPr lang="en-US" sz="1800" b="1" i="0" u="none" strike="noStrike">
              <a:solidFill>
                <a:srgbClr val="000000"/>
              </a:solidFill>
              <a:latin typeface="Cambria"/>
              <a:ea typeface="Cambria"/>
            </a:rPr>
            <a:pPr algn="ctr"/>
            <a:t>19.9%</a:t>
          </a:fld>
          <a:endParaRPr lang="es-PE" sz="1800" b="1"/>
        </a:p>
      </xdr:txBody>
    </xdr:sp>
    <xdr:clientData/>
  </xdr:oneCellAnchor>
  <xdr:oneCellAnchor>
    <xdr:from>
      <xdr:col>16</xdr:col>
      <xdr:colOff>430531</xdr:colOff>
      <xdr:row>19</xdr:row>
      <xdr:rowOff>99060</xdr:rowOff>
    </xdr:from>
    <xdr:ext cx="1908809" cy="374141"/>
    <xdr:sp macro="" textlink="Calculos!B87">
      <xdr:nvSpPr>
        <xdr:cNvPr id="29" name="CuadroTexto 28">
          <a:extLst>
            <a:ext uri="{FF2B5EF4-FFF2-40B4-BE49-F238E27FC236}">
              <a16:creationId xmlns:a16="http://schemas.microsoft.com/office/drawing/2014/main" id="{5B8815E7-6443-44A3-B6EB-94B7ACD76AC2}"/>
            </a:ext>
          </a:extLst>
        </xdr:cNvPr>
        <xdr:cNvSpPr txBox="1"/>
      </xdr:nvSpPr>
      <xdr:spPr>
        <a:xfrm>
          <a:off x="12134851" y="3131820"/>
          <a:ext cx="19088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30B86F1C-5429-4DA3-89C7-8159E696B452}" type="TxLink">
            <a:rPr lang="en-US" sz="1800" b="1" i="0" u="none" strike="noStrike">
              <a:solidFill>
                <a:srgbClr val="000000"/>
              </a:solidFill>
              <a:latin typeface="Cambria"/>
              <a:ea typeface="Cambria"/>
            </a:rPr>
            <a:pPr algn="ctr"/>
            <a:t>20.2%</a:t>
          </a:fld>
          <a:endParaRPr lang="es-PE" sz="1800" b="1"/>
        </a:p>
      </xdr:txBody>
    </xdr:sp>
    <xdr:clientData/>
  </xdr:oneCellAnchor>
  <xdr:oneCellAnchor>
    <xdr:from>
      <xdr:col>16</xdr:col>
      <xdr:colOff>445771</xdr:colOff>
      <xdr:row>25</xdr:row>
      <xdr:rowOff>7620</xdr:rowOff>
    </xdr:from>
    <xdr:ext cx="1908809" cy="374141"/>
    <xdr:sp macro="" textlink="Calculos!B88">
      <xdr:nvSpPr>
        <xdr:cNvPr id="30" name="CuadroTexto 29">
          <a:extLst>
            <a:ext uri="{FF2B5EF4-FFF2-40B4-BE49-F238E27FC236}">
              <a16:creationId xmlns:a16="http://schemas.microsoft.com/office/drawing/2014/main" id="{68D07672-7FEE-4752-A6E6-5A73E63907AF}"/>
            </a:ext>
          </a:extLst>
        </xdr:cNvPr>
        <xdr:cNvSpPr txBox="1"/>
      </xdr:nvSpPr>
      <xdr:spPr>
        <a:xfrm>
          <a:off x="12150091" y="3977640"/>
          <a:ext cx="19088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405F925E-EF7C-47DD-99F4-2856CE5E75B8}" type="TxLink">
            <a:rPr lang="en-US" sz="1800" b="1" i="0" u="none" strike="noStrike">
              <a:solidFill>
                <a:srgbClr val="000000"/>
              </a:solidFill>
              <a:latin typeface="Cambria"/>
              <a:ea typeface="Cambria"/>
            </a:rPr>
            <a:pPr algn="ctr"/>
            <a:t>14.4%</a:t>
          </a:fld>
          <a:endParaRPr lang="es-PE" sz="1800" b="1"/>
        </a:p>
      </xdr:txBody>
    </xdr:sp>
    <xdr:clientData/>
  </xdr:oneCellAnchor>
  <xdr:oneCellAnchor>
    <xdr:from>
      <xdr:col>16</xdr:col>
      <xdr:colOff>426721</xdr:colOff>
      <xdr:row>30</xdr:row>
      <xdr:rowOff>83820</xdr:rowOff>
    </xdr:from>
    <xdr:ext cx="1908809" cy="374141"/>
    <xdr:sp macro="" textlink="Calculos!B89">
      <xdr:nvSpPr>
        <xdr:cNvPr id="31" name="CuadroTexto 30">
          <a:extLst>
            <a:ext uri="{FF2B5EF4-FFF2-40B4-BE49-F238E27FC236}">
              <a16:creationId xmlns:a16="http://schemas.microsoft.com/office/drawing/2014/main" id="{8BC19487-5214-426D-ABD4-936A41AAE157}"/>
            </a:ext>
          </a:extLst>
        </xdr:cNvPr>
        <xdr:cNvSpPr txBox="1"/>
      </xdr:nvSpPr>
      <xdr:spPr>
        <a:xfrm>
          <a:off x="12131041" y="4834890"/>
          <a:ext cx="19088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FE5964A9-CEAC-47B4-9ECF-4BD763594B2A}" type="TxLink">
            <a:rPr lang="en-US" sz="1800" b="1" i="0" u="none" strike="noStrike">
              <a:solidFill>
                <a:srgbClr val="000000"/>
              </a:solidFill>
              <a:latin typeface="Cambria"/>
              <a:ea typeface="Cambria"/>
            </a:rPr>
            <a:pPr algn="ctr"/>
            <a:t>5.8%</a:t>
          </a:fld>
          <a:endParaRPr lang="es-PE" sz="1800" b="1"/>
        </a:p>
      </xdr:txBody>
    </xdr:sp>
    <xdr:clientData/>
  </xdr:oneCellAnchor>
  <xdr:twoCellAnchor>
    <xdr:from>
      <xdr:col>16</xdr:col>
      <xdr:colOff>373380</xdr:colOff>
      <xdr:row>10</xdr:row>
      <xdr:rowOff>76200</xdr:rowOff>
    </xdr:from>
    <xdr:to>
      <xdr:col>19</xdr:col>
      <xdr:colOff>198120</xdr:colOff>
      <xdr:row>17</xdr:row>
      <xdr:rowOff>34290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2" name="Gráfico 31">
              <a:extLst>
                <a:ext uri="{FF2B5EF4-FFF2-40B4-BE49-F238E27FC236}">
                  <a16:creationId xmlns:a16="http://schemas.microsoft.com/office/drawing/2014/main" id="{BD6E2E73-0163-43D0-97A0-19C6CF9D80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77700" y="1703070"/>
              <a:ext cx="2019300" cy="10515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16</xdr:col>
      <xdr:colOff>327660</xdr:colOff>
      <xdr:row>3</xdr:row>
      <xdr:rowOff>45721</xdr:rowOff>
    </xdr:from>
    <xdr:to>
      <xdr:col>19</xdr:col>
      <xdr:colOff>247650</xdr:colOff>
      <xdr:row>5</xdr:row>
      <xdr:rowOff>30480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3001BC9E-8974-4F7A-8422-B6E9B3E5AC07}"/>
            </a:ext>
          </a:extLst>
        </xdr:cNvPr>
        <xdr:cNvSpPr/>
      </xdr:nvSpPr>
      <xdr:spPr>
        <a:xfrm flipH="1">
          <a:off x="12031980" y="579121"/>
          <a:ext cx="2114550" cy="297179"/>
        </a:xfrm>
        <a:prstGeom prst="rect">
          <a:avLst/>
        </a:prstGeom>
        <a:gradFill flip="none" rotWithShape="1">
          <a:gsLst>
            <a:gs pos="32000">
              <a:srgbClr val="E17125"/>
            </a:gs>
            <a:gs pos="0">
              <a:srgbClr val="C56C38"/>
            </a:gs>
            <a:gs pos="95000">
              <a:srgbClr val="F8871B"/>
            </a:gs>
          </a:gsLst>
          <a:lin ang="10800000" scaled="1"/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s-MX" sz="1400" b="1" kern="1200">
              <a:solidFill>
                <a:schemeClr val="lt1"/>
              </a:solidFill>
              <a:latin typeface="Arial Narrow" panose="020B0606020202030204" pitchFamily="34" charset="0"/>
              <a:ea typeface="+mn-ea"/>
              <a:cs typeface="+mn-cs"/>
            </a:rPr>
            <a:t>EVALUACIÓN  VPN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C31F-AD3E-4A7C-913D-6B1E874224A9}">
  <sheetPr codeName="Hoja1"/>
  <dimension ref="A1:C24"/>
  <sheetViews>
    <sheetView showGridLines="0" zoomScale="130" zoomScaleNormal="130" workbookViewId="0">
      <selection activeCell="F12" sqref="F12"/>
    </sheetView>
  </sheetViews>
  <sheetFormatPr baseColWidth="10" defaultRowHeight="12.3" x14ac:dyDescent="0.4"/>
  <cols>
    <col min="1" max="1" width="49.88671875" bestFit="1" customWidth="1"/>
  </cols>
  <sheetData>
    <row r="1" spans="1:3" ht="17.399999999999999" x14ac:dyDescent="0.55000000000000004">
      <c r="A1" s="95" t="s">
        <v>112</v>
      </c>
      <c r="B1" s="96"/>
      <c r="C1" s="97"/>
    </row>
    <row r="2" spans="1:3" x14ac:dyDescent="0.4">
      <c r="A2" s="86"/>
      <c r="B2" s="87"/>
      <c r="C2" s="88"/>
    </row>
    <row r="3" spans="1:3" x14ac:dyDescent="0.4">
      <c r="A3" s="92" t="s">
        <v>93</v>
      </c>
      <c r="B3" s="93"/>
      <c r="C3" s="94"/>
    </row>
    <row r="4" spans="1:3" x14ac:dyDescent="0.4">
      <c r="A4" s="129" t="s">
        <v>100</v>
      </c>
      <c r="B4" s="87"/>
      <c r="C4" s="88"/>
    </row>
    <row r="5" spans="1:3" x14ac:dyDescent="0.4">
      <c r="A5" s="129" t="s">
        <v>101</v>
      </c>
      <c r="B5" s="87"/>
      <c r="C5" s="88"/>
    </row>
    <row r="6" spans="1:3" x14ac:dyDescent="0.4">
      <c r="A6" s="129" t="s">
        <v>102</v>
      </c>
      <c r="B6" s="87"/>
      <c r="C6" s="88"/>
    </row>
    <row r="7" spans="1:3" x14ac:dyDescent="0.4">
      <c r="A7" s="129" t="s">
        <v>103</v>
      </c>
      <c r="B7" s="87"/>
      <c r="C7" s="88"/>
    </row>
    <row r="8" spans="1:3" x14ac:dyDescent="0.4">
      <c r="A8" s="86"/>
      <c r="B8" s="87"/>
      <c r="C8" s="88"/>
    </row>
    <row r="9" spans="1:3" x14ac:dyDescent="0.4">
      <c r="A9" s="92" t="s">
        <v>95</v>
      </c>
      <c r="B9" s="93"/>
      <c r="C9" s="94"/>
    </row>
    <row r="10" spans="1:3" x14ac:dyDescent="0.4">
      <c r="A10" s="129" t="s">
        <v>104</v>
      </c>
      <c r="B10" s="87"/>
      <c r="C10" s="88"/>
    </row>
    <row r="11" spans="1:3" x14ac:dyDescent="0.4">
      <c r="A11" s="129" t="s">
        <v>105</v>
      </c>
      <c r="B11" s="87"/>
      <c r="C11" s="88"/>
    </row>
    <row r="12" spans="1:3" x14ac:dyDescent="0.4">
      <c r="A12" s="129" t="s">
        <v>106</v>
      </c>
      <c r="B12" s="87"/>
      <c r="C12" s="88"/>
    </row>
    <row r="13" spans="1:3" x14ac:dyDescent="0.4">
      <c r="A13" s="129" t="s">
        <v>107</v>
      </c>
      <c r="B13" s="87"/>
      <c r="C13" s="88"/>
    </row>
    <row r="14" spans="1:3" x14ac:dyDescent="0.4">
      <c r="A14" s="86" t="s">
        <v>108</v>
      </c>
      <c r="B14" s="87"/>
      <c r="C14" s="88"/>
    </row>
    <row r="15" spans="1:3" x14ac:dyDescent="0.4">
      <c r="A15" s="86" t="s">
        <v>109</v>
      </c>
      <c r="B15" s="87"/>
      <c r="C15" s="88"/>
    </row>
    <row r="16" spans="1:3" x14ac:dyDescent="0.4">
      <c r="A16" s="86"/>
      <c r="B16" s="87"/>
      <c r="C16" s="88"/>
    </row>
    <row r="17" spans="1:3" x14ac:dyDescent="0.4">
      <c r="A17" s="92" t="s">
        <v>76</v>
      </c>
      <c r="B17" s="93"/>
      <c r="C17" s="94"/>
    </row>
    <row r="18" spans="1:3" x14ac:dyDescent="0.4">
      <c r="A18" s="86" t="s">
        <v>110</v>
      </c>
      <c r="B18" s="87"/>
      <c r="C18" s="88"/>
    </row>
    <row r="19" spans="1:3" x14ac:dyDescent="0.4">
      <c r="A19" s="86" t="s">
        <v>111</v>
      </c>
      <c r="B19" s="87"/>
      <c r="C19" s="88"/>
    </row>
    <row r="20" spans="1:3" x14ac:dyDescent="0.4">
      <c r="A20" s="86"/>
      <c r="B20" s="87"/>
      <c r="C20" s="88"/>
    </row>
    <row r="21" spans="1:3" x14ac:dyDescent="0.4">
      <c r="A21" s="92" t="s">
        <v>90</v>
      </c>
      <c r="B21" s="93"/>
      <c r="C21" s="94"/>
    </row>
    <row r="22" spans="1:3" x14ac:dyDescent="0.4">
      <c r="A22" s="86" t="s">
        <v>113</v>
      </c>
      <c r="B22" s="87"/>
      <c r="C22" s="88"/>
    </row>
    <row r="23" spans="1:3" x14ac:dyDescent="0.4">
      <c r="A23" s="86" t="s">
        <v>114</v>
      </c>
      <c r="B23" s="87"/>
      <c r="C23" s="88"/>
    </row>
    <row r="24" spans="1:3" x14ac:dyDescent="0.4">
      <c r="A24" s="89" t="s">
        <v>115</v>
      </c>
      <c r="B24" s="90"/>
      <c r="C24" s="9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D095-2F2B-4D6E-8715-4FE4864E4DDD}">
  <sheetPr codeName="Hoja2"/>
  <dimension ref="A1:L133"/>
  <sheetViews>
    <sheetView showGridLines="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A15" sqref="A15"/>
    </sheetView>
  </sheetViews>
  <sheetFormatPr baseColWidth="10" defaultColWidth="11.44140625" defaultRowHeight="14.25" customHeight="1" outlineLevelRow="1" x14ac:dyDescent="0.4"/>
  <cols>
    <col min="1" max="1" width="45.1640625" style="1" customWidth="1"/>
    <col min="2" max="2" width="11.83203125" style="1" customWidth="1"/>
    <col min="3" max="3" width="11.5546875" style="1" bestFit="1" customWidth="1"/>
    <col min="4" max="10" width="12.1640625" style="1" bestFit="1" customWidth="1"/>
    <col min="11" max="16384" width="11.44140625" style="1"/>
  </cols>
  <sheetData>
    <row r="1" spans="1:10" s="6" customFormat="1" ht="29.25" customHeight="1" x14ac:dyDescent="0.85">
      <c r="A1" s="49" t="s">
        <v>99</v>
      </c>
    </row>
    <row r="2" spans="1:10" ht="14.25" customHeight="1" x14ac:dyDescent="0.4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</row>
    <row r="3" spans="1:10" ht="14.25" customHeight="1" x14ac:dyDescent="0.4">
      <c r="A3" s="98" t="s">
        <v>94</v>
      </c>
      <c r="B3" s="99"/>
      <c r="C3" s="100" t="s">
        <v>117</v>
      </c>
      <c r="D3" s="100" t="s">
        <v>118</v>
      </c>
      <c r="E3" s="100" t="s">
        <v>119</v>
      </c>
      <c r="F3" s="100" t="s">
        <v>120</v>
      </c>
      <c r="G3" s="100" t="s">
        <v>121</v>
      </c>
      <c r="H3" s="100" t="s">
        <v>122</v>
      </c>
      <c r="I3" s="100" t="s">
        <v>123</v>
      </c>
      <c r="J3" s="100" t="s">
        <v>124</v>
      </c>
    </row>
    <row r="4" spans="1:10" ht="5.25" customHeight="1" x14ac:dyDescent="0.4"/>
    <row r="5" spans="1:10" ht="17.25" customHeight="1" x14ac:dyDescent="0.4">
      <c r="A5" s="101" t="s">
        <v>43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4.25" customHeight="1" outlineLevel="1" x14ac:dyDescent="0.4">
      <c r="A6" s="2" t="s">
        <v>45</v>
      </c>
      <c r="B6" s="50">
        <v>0.10500000000000001</v>
      </c>
      <c r="C6" s="50">
        <f>+B6</f>
        <v>0.10500000000000001</v>
      </c>
      <c r="D6" s="50">
        <f t="shared" ref="D6:J6" si="0">+C6</f>
        <v>0.10500000000000001</v>
      </c>
      <c r="E6" s="50">
        <f t="shared" si="0"/>
        <v>0.10500000000000001</v>
      </c>
      <c r="F6" s="50">
        <f t="shared" si="0"/>
        <v>0.10500000000000001</v>
      </c>
      <c r="G6" s="50">
        <f t="shared" si="0"/>
        <v>0.10500000000000001</v>
      </c>
      <c r="H6" s="50">
        <f t="shared" si="0"/>
        <v>0.10500000000000001</v>
      </c>
      <c r="I6" s="50">
        <f t="shared" si="0"/>
        <v>0.10500000000000001</v>
      </c>
      <c r="J6" s="50">
        <f t="shared" si="0"/>
        <v>0.10500000000000001</v>
      </c>
    </row>
    <row r="7" spans="1:10" ht="14.25" customHeight="1" outlineLevel="1" x14ac:dyDescent="0.4">
      <c r="A7" s="2" t="s">
        <v>48</v>
      </c>
      <c r="B7" s="2">
        <v>420</v>
      </c>
      <c r="C7" s="16">
        <f>+B7</f>
        <v>420</v>
      </c>
      <c r="D7" s="52">
        <f>+C7*(1+D6)</f>
        <v>464.09999999999997</v>
      </c>
      <c r="E7" s="52">
        <f t="shared" ref="E7:J7" si="1">+D7*(1+E6)</f>
        <v>512.83049999999992</v>
      </c>
      <c r="F7" s="52">
        <f t="shared" si="1"/>
        <v>566.6777024999999</v>
      </c>
      <c r="G7" s="52">
        <f t="shared" si="1"/>
        <v>626.17886126249982</v>
      </c>
      <c r="H7" s="52">
        <f t="shared" si="1"/>
        <v>691.92764169506233</v>
      </c>
      <c r="I7" s="52">
        <f t="shared" si="1"/>
        <v>764.58004407304384</v>
      </c>
      <c r="J7" s="52">
        <f t="shared" si="1"/>
        <v>844.86094870071338</v>
      </c>
    </row>
    <row r="8" spans="1:10" ht="14.25" customHeight="1" outlineLevel="1" x14ac:dyDescent="0.4">
      <c r="A8" s="2" t="s">
        <v>44</v>
      </c>
      <c r="B8" s="2">
        <v>262.5</v>
      </c>
      <c r="C8" s="16">
        <f>+B8</f>
        <v>262.5</v>
      </c>
      <c r="D8" s="16">
        <f t="shared" ref="D8:J9" si="2">+C8</f>
        <v>262.5</v>
      </c>
      <c r="E8" s="16">
        <f t="shared" si="2"/>
        <v>262.5</v>
      </c>
      <c r="F8" s="16">
        <f t="shared" si="2"/>
        <v>262.5</v>
      </c>
      <c r="G8" s="16">
        <f t="shared" si="2"/>
        <v>262.5</v>
      </c>
      <c r="H8" s="16">
        <f t="shared" si="2"/>
        <v>262.5</v>
      </c>
      <c r="I8" s="16">
        <f t="shared" si="2"/>
        <v>262.5</v>
      </c>
      <c r="J8" s="16">
        <f t="shared" si="2"/>
        <v>262.5</v>
      </c>
    </row>
    <row r="9" spans="1:10" ht="14.25" customHeight="1" outlineLevel="1" x14ac:dyDescent="0.4">
      <c r="A9" s="2" t="s">
        <v>46</v>
      </c>
      <c r="B9" s="2">
        <v>73.5</v>
      </c>
      <c r="C9" s="16">
        <f>+B9</f>
        <v>73.5</v>
      </c>
      <c r="D9" s="16">
        <f t="shared" si="2"/>
        <v>73.5</v>
      </c>
      <c r="E9" s="16">
        <f t="shared" si="2"/>
        <v>73.5</v>
      </c>
      <c r="F9" s="16">
        <f t="shared" si="2"/>
        <v>73.5</v>
      </c>
      <c r="G9" s="16">
        <f t="shared" si="2"/>
        <v>73.5</v>
      </c>
      <c r="H9" s="16">
        <f t="shared" si="2"/>
        <v>73.5</v>
      </c>
      <c r="I9" s="16">
        <f t="shared" si="2"/>
        <v>73.5</v>
      </c>
      <c r="J9" s="16">
        <f t="shared" si="2"/>
        <v>73.5</v>
      </c>
    </row>
    <row r="10" spans="1:10" ht="14.25" customHeight="1" outlineLevel="1" x14ac:dyDescent="0.4">
      <c r="A10" s="2" t="s">
        <v>47</v>
      </c>
      <c r="B10" s="2">
        <v>52.5</v>
      </c>
      <c r="C10" s="16">
        <f t="shared" ref="C10:J27" si="3">+B10</f>
        <v>52.5</v>
      </c>
      <c r="D10" s="16">
        <f t="shared" si="3"/>
        <v>52.5</v>
      </c>
      <c r="E10" s="16">
        <f t="shared" si="3"/>
        <v>52.5</v>
      </c>
      <c r="F10" s="16">
        <f t="shared" si="3"/>
        <v>52.5</v>
      </c>
      <c r="G10" s="16">
        <f t="shared" si="3"/>
        <v>52.5</v>
      </c>
      <c r="H10" s="16">
        <f t="shared" si="3"/>
        <v>52.5</v>
      </c>
      <c r="I10" s="16">
        <f t="shared" si="3"/>
        <v>52.5</v>
      </c>
      <c r="J10" s="16">
        <f t="shared" si="3"/>
        <v>52.5</v>
      </c>
    </row>
    <row r="11" spans="1:10" ht="14.25" customHeight="1" outlineLevel="1" x14ac:dyDescent="0.4">
      <c r="A11" s="2" t="s">
        <v>49</v>
      </c>
      <c r="B11" s="2">
        <v>1.4</v>
      </c>
      <c r="C11" s="16">
        <f t="shared" si="3"/>
        <v>1.4</v>
      </c>
      <c r="D11" s="16">
        <f t="shared" si="3"/>
        <v>1.4</v>
      </c>
      <c r="E11" s="16">
        <f t="shared" si="3"/>
        <v>1.4</v>
      </c>
      <c r="F11" s="16">
        <f t="shared" si="3"/>
        <v>1.4</v>
      </c>
      <c r="G11" s="16">
        <f t="shared" si="3"/>
        <v>1.4</v>
      </c>
      <c r="H11" s="16">
        <f t="shared" si="3"/>
        <v>1.4</v>
      </c>
      <c r="I11" s="16">
        <f t="shared" si="3"/>
        <v>1.4</v>
      </c>
      <c r="J11" s="16">
        <f t="shared" si="3"/>
        <v>1.4</v>
      </c>
    </row>
    <row r="12" spans="1:10" ht="14.25" customHeight="1" outlineLevel="1" x14ac:dyDescent="0.4">
      <c r="A12" s="2" t="s">
        <v>50</v>
      </c>
      <c r="B12" s="2">
        <v>4.5</v>
      </c>
      <c r="C12" s="16">
        <f t="shared" si="3"/>
        <v>4.5</v>
      </c>
      <c r="D12" s="16">
        <f t="shared" si="3"/>
        <v>4.5</v>
      </c>
      <c r="E12" s="16">
        <f t="shared" si="3"/>
        <v>4.5</v>
      </c>
      <c r="F12" s="16">
        <f t="shared" si="3"/>
        <v>4.5</v>
      </c>
      <c r="G12" s="16">
        <f t="shared" si="3"/>
        <v>4.5</v>
      </c>
      <c r="H12" s="16">
        <f t="shared" si="3"/>
        <v>4.5</v>
      </c>
      <c r="I12" s="16">
        <f t="shared" si="3"/>
        <v>4.5</v>
      </c>
      <c r="J12" s="16">
        <f t="shared" si="3"/>
        <v>4.5</v>
      </c>
    </row>
    <row r="13" spans="1:10" ht="7.5" customHeight="1" outlineLevel="1" x14ac:dyDescent="0.4">
      <c r="B13" s="103"/>
      <c r="C13" s="16">
        <f t="shared" si="3"/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</row>
    <row r="14" spans="1:10" ht="14.25" customHeight="1" outlineLevel="1" x14ac:dyDescent="0.4">
      <c r="A14" s="2" t="s">
        <v>53</v>
      </c>
      <c r="B14" s="2">
        <v>5775</v>
      </c>
      <c r="C14" s="16">
        <f t="shared" si="3"/>
        <v>5775</v>
      </c>
      <c r="D14" s="16">
        <f t="shared" si="3"/>
        <v>5775</v>
      </c>
      <c r="E14" s="16">
        <f t="shared" si="3"/>
        <v>5775</v>
      </c>
      <c r="F14" s="16">
        <f t="shared" si="3"/>
        <v>5775</v>
      </c>
      <c r="G14" s="16">
        <f t="shared" si="3"/>
        <v>5775</v>
      </c>
      <c r="H14" s="16">
        <f t="shared" si="3"/>
        <v>5775</v>
      </c>
      <c r="I14" s="16">
        <f t="shared" si="3"/>
        <v>5775</v>
      </c>
      <c r="J14" s="16">
        <f t="shared" si="3"/>
        <v>5775</v>
      </c>
    </row>
    <row r="15" spans="1:10" ht="14.25" customHeight="1" outlineLevel="1" x14ac:dyDescent="0.4">
      <c r="A15" s="2" t="s">
        <v>51</v>
      </c>
      <c r="B15" s="2">
        <v>6037.5</v>
      </c>
      <c r="C15" s="16">
        <f t="shared" si="3"/>
        <v>6037.5</v>
      </c>
      <c r="D15" s="16">
        <f t="shared" si="3"/>
        <v>6037.5</v>
      </c>
      <c r="E15" s="16">
        <f t="shared" si="3"/>
        <v>6037.5</v>
      </c>
      <c r="F15" s="16">
        <f t="shared" si="3"/>
        <v>6037.5</v>
      </c>
      <c r="G15" s="16">
        <f t="shared" si="3"/>
        <v>6037.5</v>
      </c>
      <c r="H15" s="16">
        <f t="shared" si="3"/>
        <v>6037.5</v>
      </c>
      <c r="I15" s="16">
        <f t="shared" si="3"/>
        <v>6037.5</v>
      </c>
      <c r="J15" s="16">
        <f t="shared" si="3"/>
        <v>6037.5</v>
      </c>
    </row>
    <row r="16" spans="1:10" ht="14.25" customHeight="1" outlineLevel="1" x14ac:dyDescent="0.4">
      <c r="A16" s="2" t="s">
        <v>56</v>
      </c>
      <c r="B16" s="50">
        <v>0.1</v>
      </c>
      <c r="C16" s="16">
        <f t="shared" si="3"/>
        <v>0.1</v>
      </c>
      <c r="D16" s="16">
        <f t="shared" si="3"/>
        <v>0.1</v>
      </c>
      <c r="E16" s="16">
        <f t="shared" si="3"/>
        <v>0.1</v>
      </c>
      <c r="F16" s="16">
        <f t="shared" si="3"/>
        <v>0.1</v>
      </c>
      <c r="G16" s="16">
        <f t="shared" si="3"/>
        <v>0.1</v>
      </c>
      <c r="H16" s="16">
        <f t="shared" si="3"/>
        <v>0.1</v>
      </c>
      <c r="I16" s="16">
        <f t="shared" si="3"/>
        <v>0.1</v>
      </c>
      <c r="J16" s="16">
        <f t="shared" si="3"/>
        <v>0.1</v>
      </c>
    </row>
    <row r="17" spans="1:11" ht="7.5" customHeight="1" outlineLevel="1" x14ac:dyDescent="0.4">
      <c r="B17" s="103"/>
      <c r="C17" s="16">
        <f t="shared" si="3"/>
        <v>0</v>
      </c>
      <c r="D17" s="16">
        <f t="shared" si="3"/>
        <v>0</v>
      </c>
      <c r="E17" s="16">
        <f t="shared" si="3"/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</row>
    <row r="18" spans="1:11" ht="14.25" customHeight="1" outlineLevel="1" x14ac:dyDescent="0.4">
      <c r="A18" s="2" t="s">
        <v>13</v>
      </c>
      <c r="B18" s="2">
        <v>6300</v>
      </c>
      <c r="C18" s="16">
        <f t="shared" si="3"/>
        <v>6300</v>
      </c>
      <c r="D18" s="16">
        <f t="shared" si="3"/>
        <v>6300</v>
      </c>
      <c r="E18" s="16">
        <f t="shared" si="3"/>
        <v>6300</v>
      </c>
      <c r="F18" s="16">
        <f t="shared" si="3"/>
        <v>6300</v>
      </c>
      <c r="G18" s="16">
        <f t="shared" si="3"/>
        <v>6300</v>
      </c>
      <c r="H18" s="16">
        <f t="shared" si="3"/>
        <v>6300</v>
      </c>
      <c r="I18" s="16">
        <f t="shared" si="3"/>
        <v>6300</v>
      </c>
      <c r="J18" s="16">
        <f t="shared" si="3"/>
        <v>6300</v>
      </c>
      <c r="K18" s="19"/>
    </row>
    <row r="19" spans="1:11" ht="14.25" customHeight="1" outlineLevel="1" x14ac:dyDescent="0.4">
      <c r="A19" s="2" t="s">
        <v>55</v>
      </c>
      <c r="B19" s="51">
        <v>0.1575</v>
      </c>
      <c r="C19" s="16">
        <f t="shared" si="3"/>
        <v>0.1575</v>
      </c>
      <c r="D19" s="16">
        <f t="shared" si="3"/>
        <v>0.1575</v>
      </c>
      <c r="E19" s="16">
        <f t="shared" si="3"/>
        <v>0.1575</v>
      </c>
      <c r="F19" s="16">
        <f t="shared" si="3"/>
        <v>0.1575</v>
      </c>
      <c r="G19" s="16">
        <f t="shared" si="3"/>
        <v>0.1575</v>
      </c>
      <c r="H19" s="16">
        <f t="shared" si="3"/>
        <v>0.1575</v>
      </c>
      <c r="I19" s="16">
        <f t="shared" si="3"/>
        <v>0.1575</v>
      </c>
      <c r="J19" s="16">
        <f t="shared" si="3"/>
        <v>0.1575</v>
      </c>
    </row>
    <row r="20" spans="1:11" ht="14.25" customHeight="1" outlineLevel="1" x14ac:dyDescent="0.4">
      <c r="A20" s="2" t="s">
        <v>57</v>
      </c>
      <c r="B20" s="51">
        <v>0.84000000000000008</v>
      </c>
      <c r="C20" s="16">
        <f t="shared" si="3"/>
        <v>0.84000000000000008</v>
      </c>
      <c r="D20" s="16">
        <f t="shared" si="3"/>
        <v>0.84000000000000008</v>
      </c>
      <c r="E20" s="16">
        <f t="shared" si="3"/>
        <v>0.84000000000000008</v>
      </c>
      <c r="F20" s="16">
        <f t="shared" si="3"/>
        <v>0.84000000000000008</v>
      </c>
      <c r="G20" s="16">
        <f t="shared" si="3"/>
        <v>0.84000000000000008</v>
      </c>
      <c r="H20" s="16">
        <f t="shared" si="3"/>
        <v>0.84000000000000008</v>
      </c>
      <c r="I20" s="16">
        <f t="shared" si="3"/>
        <v>0.84000000000000008</v>
      </c>
      <c r="J20" s="16">
        <f t="shared" si="3"/>
        <v>0.84000000000000008</v>
      </c>
    </row>
    <row r="21" spans="1:11" ht="14.25" customHeight="1" outlineLevel="1" x14ac:dyDescent="0.4">
      <c r="A21" s="2" t="s">
        <v>75</v>
      </c>
      <c r="B21" s="2">
        <v>189000</v>
      </c>
      <c r="C21" s="16">
        <f t="shared" si="3"/>
        <v>189000</v>
      </c>
      <c r="D21" s="16">
        <f t="shared" si="3"/>
        <v>189000</v>
      </c>
      <c r="E21" s="16">
        <f t="shared" si="3"/>
        <v>189000</v>
      </c>
      <c r="F21" s="16">
        <f t="shared" si="3"/>
        <v>189000</v>
      </c>
      <c r="G21" s="16">
        <f t="shared" si="3"/>
        <v>189000</v>
      </c>
      <c r="H21" s="16">
        <f t="shared" si="3"/>
        <v>189000</v>
      </c>
      <c r="I21" s="16">
        <f t="shared" si="3"/>
        <v>189000</v>
      </c>
      <c r="J21" s="16">
        <f t="shared" si="3"/>
        <v>189000</v>
      </c>
    </row>
    <row r="22" spans="1:11" ht="14.25" customHeight="1" outlineLevel="1" x14ac:dyDescent="0.4">
      <c r="A22" s="2" t="s">
        <v>96</v>
      </c>
      <c r="B22" s="108">
        <f>+B21*1.1</f>
        <v>207900.00000000003</v>
      </c>
      <c r="C22" s="16"/>
      <c r="D22" s="16"/>
      <c r="E22" s="16"/>
      <c r="F22" s="16"/>
      <c r="G22" s="16"/>
      <c r="H22" s="16"/>
      <c r="I22" s="16"/>
      <c r="J22" s="16"/>
    </row>
    <row r="23" spans="1:11" ht="14.25" customHeight="1" outlineLevel="1" x14ac:dyDescent="0.4">
      <c r="A23" s="2" t="s">
        <v>58</v>
      </c>
      <c r="B23" s="2">
        <v>10500</v>
      </c>
      <c r="C23" s="16">
        <f t="shared" si="3"/>
        <v>10500</v>
      </c>
      <c r="D23" s="16">
        <f t="shared" si="3"/>
        <v>10500</v>
      </c>
      <c r="E23" s="16">
        <f t="shared" si="3"/>
        <v>10500</v>
      </c>
      <c r="F23" s="16">
        <f t="shared" si="3"/>
        <v>10500</v>
      </c>
      <c r="G23" s="16">
        <f t="shared" si="3"/>
        <v>10500</v>
      </c>
      <c r="H23" s="16">
        <f t="shared" si="3"/>
        <v>10500</v>
      </c>
      <c r="I23" s="16">
        <f t="shared" si="3"/>
        <v>10500</v>
      </c>
      <c r="J23" s="16">
        <f t="shared" si="3"/>
        <v>10500</v>
      </c>
    </row>
    <row r="24" spans="1:11" ht="7.5" customHeight="1" outlineLevel="1" x14ac:dyDescent="0.4">
      <c r="B24" s="103"/>
      <c r="C24" s="16">
        <f>+B24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6">
        <f t="shared" si="3"/>
        <v>0</v>
      </c>
    </row>
    <row r="25" spans="1:11" ht="14.25" customHeight="1" outlineLevel="1" x14ac:dyDescent="0.4">
      <c r="A25" s="2" t="s">
        <v>59</v>
      </c>
      <c r="B25" s="50">
        <v>0.10500000000000001</v>
      </c>
      <c r="C25" s="16">
        <f t="shared" si="3"/>
        <v>0.10500000000000001</v>
      </c>
      <c r="D25" s="16">
        <f t="shared" si="3"/>
        <v>0.10500000000000001</v>
      </c>
      <c r="E25" s="16">
        <f t="shared" si="3"/>
        <v>0.10500000000000001</v>
      </c>
      <c r="F25" s="16">
        <f t="shared" si="3"/>
        <v>0.10500000000000001</v>
      </c>
      <c r="G25" s="16">
        <f t="shared" si="3"/>
        <v>0.10500000000000001</v>
      </c>
      <c r="H25" s="16">
        <f t="shared" si="3"/>
        <v>0.10500000000000001</v>
      </c>
      <c r="I25" s="16">
        <f t="shared" si="3"/>
        <v>0.10500000000000001</v>
      </c>
      <c r="J25" s="16">
        <f t="shared" si="3"/>
        <v>0.10500000000000001</v>
      </c>
    </row>
    <row r="26" spans="1:11" ht="14.25" customHeight="1" outlineLevel="1" x14ac:dyDescent="0.4">
      <c r="A26" s="2" t="s">
        <v>60</v>
      </c>
      <c r="B26" s="50">
        <v>0.06</v>
      </c>
      <c r="C26" s="16">
        <f t="shared" si="3"/>
        <v>0.06</v>
      </c>
      <c r="D26" s="16">
        <f t="shared" si="3"/>
        <v>0.06</v>
      </c>
      <c r="E26" s="16">
        <f t="shared" si="3"/>
        <v>0.06</v>
      </c>
      <c r="F26" s="16">
        <f t="shared" si="3"/>
        <v>0.06</v>
      </c>
      <c r="G26" s="16">
        <f t="shared" si="3"/>
        <v>0.06</v>
      </c>
      <c r="H26" s="16">
        <f t="shared" si="3"/>
        <v>0.06</v>
      </c>
      <c r="I26" s="16">
        <f t="shared" si="3"/>
        <v>0.06</v>
      </c>
      <c r="J26" s="16">
        <f t="shared" si="3"/>
        <v>0.06</v>
      </c>
    </row>
    <row r="27" spans="1:11" ht="14.25" customHeight="1" outlineLevel="1" x14ac:dyDescent="0.4">
      <c r="A27" s="2" t="s">
        <v>61</v>
      </c>
      <c r="B27" s="50">
        <v>0.21000000000000002</v>
      </c>
      <c r="C27" s="16">
        <f t="shared" si="3"/>
        <v>0.21000000000000002</v>
      </c>
      <c r="D27" s="16">
        <f t="shared" si="3"/>
        <v>0.21000000000000002</v>
      </c>
      <c r="E27" s="16">
        <f t="shared" si="3"/>
        <v>0.21000000000000002</v>
      </c>
      <c r="F27" s="16">
        <f t="shared" si="3"/>
        <v>0.21000000000000002</v>
      </c>
      <c r="G27" s="16">
        <f t="shared" si="3"/>
        <v>0.21000000000000002</v>
      </c>
      <c r="H27" s="16">
        <f t="shared" si="3"/>
        <v>0.21000000000000002</v>
      </c>
      <c r="I27" s="16">
        <f t="shared" si="3"/>
        <v>0.21000000000000002</v>
      </c>
      <c r="J27" s="16">
        <f t="shared" si="3"/>
        <v>0.21000000000000002</v>
      </c>
    </row>
    <row r="28" spans="1:11" ht="14.25" customHeight="1" x14ac:dyDescent="0.4">
      <c r="A28" s="2"/>
      <c r="B28" s="7"/>
      <c r="C28" s="8"/>
      <c r="D28" s="8"/>
      <c r="E28" s="8"/>
      <c r="F28" s="8"/>
      <c r="G28" s="8"/>
      <c r="H28" s="8"/>
      <c r="I28" s="8"/>
      <c r="J28" s="8"/>
    </row>
    <row r="29" spans="1:11" ht="17.25" customHeight="1" x14ac:dyDescent="0.4">
      <c r="A29" s="101" t="s">
        <v>93</v>
      </c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1" ht="14.25" customHeight="1" outlineLevel="1" x14ac:dyDescent="0.4"/>
    <row r="31" spans="1:11" ht="14.25" customHeight="1" outlineLevel="1" x14ac:dyDescent="0.4">
      <c r="A31" s="56" t="s">
        <v>3</v>
      </c>
      <c r="B31" s="57"/>
      <c r="C31" s="57">
        <v>110250</v>
      </c>
      <c r="D31" s="57">
        <v>121826.24999999999</v>
      </c>
      <c r="E31" s="57">
        <v>114618.00625000001</v>
      </c>
      <c r="F31" s="57">
        <v>148752.89690624998</v>
      </c>
      <c r="G31" s="57">
        <v>134371.951081406</v>
      </c>
      <c r="H31" s="57">
        <v>151631.005944954</v>
      </c>
      <c r="I31" s="57">
        <v>131702.26156917401</v>
      </c>
      <c r="J31" s="57">
        <v>155775.999033937</v>
      </c>
    </row>
    <row r="32" spans="1:11" ht="14.25" customHeight="1" outlineLevel="1" x14ac:dyDescent="0.4">
      <c r="A32" s="58" t="s">
        <v>4</v>
      </c>
      <c r="B32" s="57"/>
      <c r="C32" s="57">
        <f>SUM(C33:C36)</f>
        <v>55398</v>
      </c>
      <c r="D32" s="57">
        <f t="shared" ref="D32:J32" si="4">SUM(D33:D36)</f>
        <v>61214.789999999994</v>
      </c>
      <c r="E32" s="57">
        <f t="shared" si="4"/>
        <v>67642.342949999991</v>
      </c>
      <c r="F32" s="57">
        <f t="shared" si="4"/>
        <v>74744.788959749989</v>
      </c>
      <c r="G32" s="57">
        <f t="shared" si="4"/>
        <v>82592.991800523727</v>
      </c>
      <c r="H32" s="57">
        <f t="shared" si="4"/>
        <v>91265.25593957871</v>
      </c>
      <c r="I32" s="57">
        <f t="shared" si="4"/>
        <v>100848.10781323447</v>
      </c>
      <c r="J32" s="57">
        <f t="shared" si="4"/>
        <v>111437.1591336241</v>
      </c>
    </row>
    <row r="33" spans="1:10" ht="14.25" customHeight="1" outlineLevel="1" x14ac:dyDescent="0.4">
      <c r="A33" s="10" t="s">
        <v>5</v>
      </c>
      <c r="B33" s="4"/>
      <c r="C33" s="4">
        <f>+C7*C9</f>
        <v>30870</v>
      </c>
      <c r="D33" s="4">
        <f t="shared" ref="D33:J33" si="5">+D7*D9</f>
        <v>34111.35</v>
      </c>
      <c r="E33" s="4">
        <f t="shared" si="5"/>
        <v>37693.041749999997</v>
      </c>
      <c r="F33" s="4">
        <f t="shared" si="5"/>
        <v>41650.811133749994</v>
      </c>
      <c r="G33" s="4">
        <f t="shared" si="5"/>
        <v>46024.146302793735</v>
      </c>
      <c r="H33" s="4">
        <f t="shared" si="5"/>
        <v>50856.681664587079</v>
      </c>
      <c r="I33" s="4">
        <f t="shared" si="5"/>
        <v>56196.633239368719</v>
      </c>
      <c r="J33" s="4">
        <f t="shared" si="5"/>
        <v>62097.279729502436</v>
      </c>
    </row>
    <row r="34" spans="1:10" ht="14.25" customHeight="1" outlineLevel="1" x14ac:dyDescent="0.4">
      <c r="A34" s="10" t="s">
        <v>6</v>
      </c>
      <c r="B34" s="4"/>
      <c r="C34" s="4">
        <f>+C7*C10</f>
        <v>22050</v>
      </c>
      <c r="D34" s="4">
        <f t="shared" ref="D34:J34" si="6">+D7*D10</f>
        <v>24365.25</v>
      </c>
      <c r="E34" s="4">
        <f t="shared" si="6"/>
        <v>26923.601249999996</v>
      </c>
      <c r="F34" s="4">
        <f t="shared" si="6"/>
        <v>29750.579381249994</v>
      </c>
      <c r="G34" s="4">
        <f t="shared" si="6"/>
        <v>32874.390216281237</v>
      </c>
      <c r="H34" s="4">
        <f t="shared" si="6"/>
        <v>36326.201188990774</v>
      </c>
      <c r="I34" s="4">
        <f t="shared" si="6"/>
        <v>40140.452313834801</v>
      </c>
      <c r="J34" s="4">
        <f t="shared" si="6"/>
        <v>44355.199806787452</v>
      </c>
    </row>
    <row r="35" spans="1:10" ht="14.25" customHeight="1" outlineLevel="1" x14ac:dyDescent="0.4">
      <c r="A35" s="10" t="s">
        <v>7</v>
      </c>
      <c r="B35" s="11"/>
      <c r="C35" s="4">
        <f>+C7*C11</f>
        <v>588</v>
      </c>
      <c r="D35" s="4">
        <f t="shared" ref="D35:J35" si="7">+D7*D11</f>
        <v>649.7399999999999</v>
      </c>
      <c r="E35" s="4">
        <f t="shared" si="7"/>
        <v>717.96269999999981</v>
      </c>
      <c r="F35" s="4">
        <f t="shared" si="7"/>
        <v>793.34878349999985</v>
      </c>
      <c r="G35" s="4">
        <f t="shared" si="7"/>
        <v>876.65040576749971</v>
      </c>
      <c r="H35" s="4">
        <f t="shared" si="7"/>
        <v>968.69869837308715</v>
      </c>
      <c r="I35" s="4">
        <f t="shared" si="7"/>
        <v>1070.4120617022613</v>
      </c>
      <c r="J35" s="4">
        <f t="shared" si="7"/>
        <v>1182.8053281809987</v>
      </c>
    </row>
    <row r="36" spans="1:10" ht="14.25" customHeight="1" outlineLevel="1" x14ac:dyDescent="0.4">
      <c r="A36" s="10" t="s">
        <v>8</v>
      </c>
      <c r="B36" s="11"/>
      <c r="C36" s="4">
        <f>+C7*C12</f>
        <v>1890</v>
      </c>
      <c r="D36" s="4">
        <f t="shared" ref="D36:J36" si="8">+D7*D12</f>
        <v>2088.4499999999998</v>
      </c>
      <c r="E36" s="4">
        <f t="shared" si="8"/>
        <v>2307.7372499999997</v>
      </c>
      <c r="F36" s="4">
        <f t="shared" si="8"/>
        <v>2550.0496612499996</v>
      </c>
      <c r="G36" s="4">
        <f t="shared" si="8"/>
        <v>2817.8048756812491</v>
      </c>
      <c r="H36" s="4">
        <f t="shared" si="8"/>
        <v>3113.6743876277806</v>
      </c>
      <c r="I36" s="4">
        <f t="shared" si="8"/>
        <v>3440.6101983286972</v>
      </c>
      <c r="J36" s="4">
        <f t="shared" si="8"/>
        <v>3801.8742691532102</v>
      </c>
    </row>
    <row r="37" spans="1:10" ht="14.25" customHeight="1" outlineLevel="1" x14ac:dyDescent="0.4">
      <c r="A37" s="58" t="s">
        <v>9</v>
      </c>
      <c r="B37" s="59"/>
      <c r="C37" s="60">
        <f>SUM(C38:C40)</f>
        <v>45189.375</v>
      </c>
      <c r="D37" s="60">
        <f t="shared" ref="D37:J37" si="9">SUM(D38:D40)</f>
        <v>49327.884374999994</v>
      </c>
      <c r="E37" s="60">
        <f t="shared" si="9"/>
        <v>50750.937234375</v>
      </c>
      <c r="F37" s="60">
        <f t="shared" si="9"/>
        <v>58954.160643984367</v>
      </c>
      <c r="G37" s="60">
        <f t="shared" si="9"/>
        <v>59812.972511602682</v>
      </c>
      <c r="H37" s="60">
        <f t="shared" si="9"/>
        <v>65983.084625321033</v>
      </c>
      <c r="I37" s="60">
        <f t="shared" si="9"/>
        <v>66658.55851097971</v>
      </c>
      <c r="J37" s="60">
        <f t="shared" si="9"/>
        <v>74664.919654632526</v>
      </c>
    </row>
    <row r="38" spans="1:10" ht="14.25" customHeight="1" outlineLevel="1" x14ac:dyDescent="0.4">
      <c r="A38" s="10" t="s">
        <v>52</v>
      </c>
      <c r="B38" s="4"/>
      <c r="C38" s="12">
        <f>+C14</f>
        <v>5775</v>
      </c>
      <c r="D38" s="12">
        <f t="shared" ref="D38:J38" si="10">+D14</f>
        <v>5775</v>
      </c>
      <c r="E38" s="12">
        <f t="shared" si="10"/>
        <v>5775</v>
      </c>
      <c r="F38" s="12">
        <f t="shared" si="10"/>
        <v>5775</v>
      </c>
      <c r="G38" s="12">
        <f t="shared" si="10"/>
        <v>5775</v>
      </c>
      <c r="H38" s="12">
        <f t="shared" si="10"/>
        <v>5775</v>
      </c>
      <c r="I38" s="12">
        <f t="shared" si="10"/>
        <v>5775</v>
      </c>
      <c r="J38" s="12">
        <f t="shared" si="10"/>
        <v>5775</v>
      </c>
    </row>
    <row r="39" spans="1:10" ht="14.25" customHeight="1" outlineLevel="1" x14ac:dyDescent="0.4">
      <c r="A39" s="10" t="s">
        <v>10</v>
      </c>
      <c r="B39" s="4"/>
      <c r="C39" s="9">
        <v>17364.375</v>
      </c>
      <c r="D39" s="9">
        <v>19187.634374999998</v>
      </c>
      <c r="E39" s="9">
        <v>18052.335984375</v>
      </c>
      <c r="F39" s="9">
        <v>23428.581262734373</v>
      </c>
      <c r="G39" s="9">
        <v>21163.582295321445</v>
      </c>
      <c r="H39" s="9">
        <v>23881.883436330256</v>
      </c>
      <c r="I39" s="9">
        <v>20743.106197144905</v>
      </c>
      <c r="J39" s="9">
        <v>24534.719847845077</v>
      </c>
    </row>
    <row r="40" spans="1:10" ht="14.25" customHeight="1" outlineLevel="1" x14ac:dyDescent="0.4">
      <c r="A40" s="26" t="s">
        <v>11</v>
      </c>
      <c r="B40" s="4"/>
      <c r="C40" s="4">
        <v>22050</v>
      </c>
      <c r="D40" s="4">
        <v>24365.25</v>
      </c>
      <c r="E40" s="4">
        <v>26923.601249999996</v>
      </c>
      <c r="F40" s="4">
        <v>29750.579381249994</v>
      </c>
      <c r="G40" s="4">
        <v>32874.390216281237</v>
      </c>
      <c r="H40" s="4">
        <v>36326.201188990774</v>
      </c>
      <c r="I40" s="4">
        <v>40140.452313834801</v>
      </c>
      <c r="J40" s="4">
        <v>44355.199806787452</v>
      </c>
    </row>
    <row r="41" spans="1:10" ht="14.25" customHeight="1" outlineLevel="1" x14ac:dyDescent="0.4">
      <c r="A41" s="61" t="s">
        <v>12</v>
      </c>
      <c r="B41" s="62"/>
      <c r="C41" s="63">
        <f>+C31-C32-C37</f>
        <v>9662.625</v>
      </c>
      <c r="D41" s="63">
        <f t="shared" ref="D41:J41" si="11">+D31-D32-D37</f>
        <v>11283.575624999998</v>
      </c>
      <c r="E41" s="63">
        <f t="shared" si="11"/>
        <v>-3775.2739343749854</v>
      </c>
      <c r="F41" s="63">
        <f t="shared" si="11"/>
        <v>15053.947302515626</v>
      </c>
      <c r="G41" s="63">
        <f t="shared" si="11"/>
        <v>-8034.013230720404</v>
      </c>
      <c r="H41" s="63">
        <f t="shared" si="11"/>
        <v>-5617.3346199457446</v>
      </c>
      <c r="I41" s="63">
        <f t="shared" si="11"/>
        <v>-35804.404755040174</v>
      </c>
      <c r="J41" s="63">
        <f t="shared" si="11"/>
        <v>-30326.079754319624</v>
      </c>
    </row>
    <row r="42" spans="1:10" ht="14.25" customHeight="1" outlineLevel="1" x14ac:dyDescent="0.4">
      <c r="A42" s="13" t="s">
        <v>0</v>
      </c>
      <c r="B42" s="4"/>
      <c r="C42" s="19">
        <f>+C89</f>
        <v>8182.5999609375003</v>
      </c>
      <c r="D42" s="19">
        <f t="shared" ref="D42:J42" si="12">+D89</f>
        <v>7979.9414255859383</v>
      </c>
      <c r="E42" s="19">
        <f t="shared" si="12"/>
        <v>7260.8296502724625</v>
      </c>
      <c r="F42" s="19">
        <f t="shared" si="12"/>
        <v>7678.3892166760688</v>
      </c>
      <c r="G42" s="19">
        <f t="shared" si="12"/>
        <v>6762.0740844270504</v>
      </c>
      <c r="H42" s="19">
        <f t="shared" si="12"/>
        <v>6715.6562773544001</v>
      </c>
      <c r="I42" s="19">
        <f t="shared" si="12"/>
        <v>5646.8122255391081</v>
      </c>
      <c r="J42" s="19">
        <f t="shared" si="12"/>
        <v>5787.7545334394572</v>
      </c>
    </row>
    <row r="43" spans="1:10" ht="14.25" customHeight="1" outlineLevel="1" x14ac:dyDescent="0.4">
      <c r="A43" s="13" t="s">
        <v>1</v>
      </c>
      <c r="B43" s="104">
        <v>0.29499999999999998</v>
      </c>
      <c r="C43" s="9">
        <f>+(C41-C42)*$B$43</f>
        <v>436.60738652343736</v>
      </c>
      <c r="D43" s="9">
        <f t="shared" ref="D43:J43" si="13">+(D41-D42)*$B$43</f>
        <v>974.57208882714747</v>
      </c>
      <c r="E43" s="9">
        <f t="shared" si="13"/>
        <v>-3255.6505574709968</v>
      </c>
      <c r="F43" s="9">
        <f t="shared" si="13"/>
        <v>2175.7896353226693</v>
      </c>
      <c r="G43" s="9">
        <f t="shared" si="13"/>
        <v>-4364.8457579684991</v>
      </c>
      <c r="H43" s="9">
        <f t="shared" si="13"/>
        <v>-3638.2323147035422</v>
      </c>
      <c r="I43" s="9">
        <f t="shared" si="13"/>
        <v>-12228.109009270887</v>
      </c>
      <c r="J43" s="9">
        <f t="shared" si="13"/>
        <v>-10653.58111488893</v>
      </c>
    </row>
    <row r="44" spans="1:10" ht="14.25" customHeight="1" outlineLevel="1" x14ac:dyDescent="0.4">
      <c r="A44" s="61" t="s">
        <v>2</v>
      </c>
      <c r="B44" s="62"/>
      <c r="C44" s="63">
        <f>+C41-C42-C43</f>
        <v>1043.4176525390624</v>
      </c>
      <c r="D44" s="63">
        <f t="shared" ref="D44:J44" si="14">+D41-D42-D43</f>
        <v>2329.0621105869118</v>
      </c>
      <c r="E44" s="63">
        <f t="shared" si="14"/>
        <v>-7780.4530271764506</v>
      </c>
      <c r="F44" s="63">
        <f t="shared" si="14"/>
        <v>5199.7684505168872</v>
      </c>
      <c r="G44" s="63">
        <f t="shared" si="14"/>
        <v>-10431.241557178957</v>
      </c>
      <c r="H44" s="63">
        <f t="shared" si="14"/>
        <v>-8694.7585825966016</v>
      </c>
      <c r="I44" s="63">
        <f t="shared" si="14"/>
        <v>-29223.107971308393</v>
      </c>
      <c r="J44" s="63">
        <f t="shared" si="14"/>
        <v>-25460.253172870154</v>
      </c>
    </row>
    <row r="46" spans="1:10" ht="17.25" customHeight="1" x14ac:dyDescent="0.4">
      <c r="A46" s="101" t="s">
        <v>95</v>
      </c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0" ht="14.25" customHeight="1" outlineLevel="1" x14ac:dyDescent="0.4"/>
    <row r="48" spans="1:10" ht="14.25" customHeight="1" outlineLevel="1" x14ac:dyDescent="0.4">
      <c r="A48" s="14" t="s">
        <v>19</v>
      </c>
    </row>
    <row r="49" spans="1:10" ht="14.25" customHeight="1" outlineLevel="1" x14ac:dyDescent="0.4">
      <c r="A49" s="15" t="s">
        <v>13</v>
      </c>
      <c r="B49" s="16"/>
      <c r="C49" s="9">
        <f>+C18</f>
        <v>6300</v>
      </c>
      <c r="D49" s="9">
        <f t="shared" ref="D49:J49" si="15">+D18</f>
        <v>6300</v>
      </c>
      <c r="E49" s="9">
        <f t="shared" si="15"/>
        <v>6300</v>
      </c>
      <c r="F49" s="9">
        <f t="shared" si="15"/>
        <v>6300</v>
      </c>
      <c r="G49" s="9">
        <f t="shared" si="15"/>
        <v>6300</v>
      </c>
      <c r="H49" s="9">
        <f t="shared" si="15"/>
        <v>6300</v>
      </c>
      <c r="I49" s="9">
        <f t="shared" si="15"/>
        <v>6300</v>
      </c>
      <c r="J49" s="9">
        <f t="shared" si="15"/>
        <v>6300</v>
      </c>
    </row>
    <row r="50" spans="1:10" ht="14.25" customHeight="1" outlineLevel="1" x14ac:dyDescent="0.4">
      <c r="A50" s="15" t="s">
        <v>17</v>
      </c>
      <c r="B50" s="17"/>
      <c r="C50" s="9">
        <f>+C19*C31</f>
        <v>17364.375</v>
      </c>
      <c r="D50" s="9">
        <f t="shared" ref="D50:J50" si="16">+D19*D31</f>
        <v>19187.634374999998</v>
      </c>
      <c r="E50" s="9">
        <f t="shared" si="16"/>
        <v>18052.335984375</v>
      </c>
      <c r="F50" s="9">
        <f t="shared" si="16"/>
        <v>23428.581262734373</v>
      </c>
      <c r="G50" s="9">
        <f t="shared" si="16"/>
        <v>21163.582295321445</v>
      </c>
      <c r="H50" s="9">
        <f t="shared" si="16"/>
        <v>23881.883436330256</v>
      </c>
      <c r="I50" s="9">
        <f t="shared" si="16"/>
        <v>20743.106197144905</v>
      </c>
      <c r="J50" s="9">
        <f t="shared" si="16"/>
        <v>24534.719847845077</v>
      </c>
    </row>
    <row r="51" spans="1:10" ht="14.25" customHeight="1" outlineLevel="1" x14ac:dyDescent="0.4">
      <c r="A51" s="15" t="s">
        <v>54</v>
      </c>
      <c r="B51" s="17"/>
      <c r="C51" s="9">
        <f>+C31*C20</f>
        <v>92610.000000000015</v>
      </c>
      <c r="D51" s="9">
        <f t="shared" ref="D51:J51" si="17">+D31*D20</f>
        <v>102334.05</v>
      </c>
      <c r="E51" s="9">
        <f t="shared" si="17"/>
        <v>96279.125250000012</v>
      </c>
      <c r="F51" s="9">
        <f t="shared" si="17"/>
        <v>124952.43340124999</v>
      </c>
      <c r="G51" s="9">
        <f t="shared" si="17"/>
        <v>112872.43890838105</v>
      </c>
      <c r="H51" s="9">
        <f t="shared" si="17"/>
        <v>127370.04499376137</v>
      </c>
      <c r="I51" s="9">
        <f t="shared" si="17"/>
        <v>110629.89971810617</v>
      </c>
      <c r="J51" s="9">
        <f t="shared" si="17"/>
        <v>130851.83918850709</v>
      </c>
    </row>
    <row r="52" spans="1:10" ht="14.25" customHeight="1" outlineLevel="1" x14ac:dyDescent="0.4">
      <c r="A52" s="64" t="s">
        <v>14</v>
      </c>
      <c r="B52" s="65"/>
      <c r="C52" s="66">
        <f>SUM(C49:C51)</f>
        <v>116274.37500000001</v>
      </c>
      <c r="D52" s="66">
        <f t="shared" ref="D52:J52" si="18">SUM(D49:D51)</f>
        <v>127821.684375</v>
      </c>
      <c r="E52" s="66">
        <f t="shared" si="18"/>
        <v>120631.46123437502</v>
      </c>
      <c r="F52" s="66">
        <f t="shared" si="18"/>
        <v>154681.01466398436</v>
      </c>
      <c r="G52" s="66">
        <f t="shared" si="18"/>
        <v>140336.02120370249</v>
      </c>
      <c r="H52" s="66">
        <f t="shared" si="18"/>
        <v>157551.92843009162</v>
      </c>
      <c r="I52" s="66">
        <f t="shared" si="18"/>
        <v>137673.00591525107</v>
      </c>
      <c r="J52" s="66">
        <f t="shared" si="18"/>
        <v>161686.55903635218</v>
      </c>
    </row>
    <row r="53" spans="1:10" ht="14.25" customHeight="1" outlineLevel="1" x14ac:dyDescent="0.4">
      <c r="A53" s="5" t="s">
        <v>18</v>
      </c>
    </row>
    <row r="54" spans="1:10" ht="14.25" customHeight="1" outlineLevel="1" x14ac:dyDescent="0.4">
      <c r="A54" s="18" t="s">
        <v>68</v>
      </c>
      <c r="C54" s="19">
        <f>+C21</f>
        <v>189000</v>
      </c>
      <c r="D54" s="19">
        <f t="shared" ref="D54:J54" si="19">+D21</f>
        <v>189000</v>
      </c>
      <c r="E54" s="19">
        <f t="shared" si="19"/>
        <v>189000</v>
      </c>
      <c r="F54" s="19">
        <f t="shared" si="19"/>
        <v>189000</v>
      </c>
      <c r="G54" s="19">
        <f t="shared" si="19"/>
        <v>189000</v>
      </c>
      <c r="H54" s="19">
        <f t="shared" si="19"/>
        <v>189000</v>
      </c>
      <c r="I54" s="19">
        <f t="shared" si="19"/>
        <v>189000</v>
      </c>
      <c r="J54" s="19">
        <f t="shared" si="19"/>
        <v>189000</v>
      </c>
    </row>
    <row r="55" spans="1:10" ht="14.25" customHeight="1" outlineLevel="1" x14ac:dyDescent="0.4">
      <c r="A55" s="18" t="s">
        <v>15</v>
      </c>
      <c r="C55" s="19">
        <f>+C84</f>
        <v>18900</v>
      </c>
      <c r="D55" s="19">
        <f t="shared" ref="D55:J55" si="20">+D84</f>
        <v>37800</v>
      </c>
      <c r="E55" s="19">
        <f t="shared" si="20"/>
        <v>56700</v>
      </c>
      <c r="F55" s="19">
        <f t="shared" si="20"/>
        <v>75600</v>
      </c>
      <c r="G55" s="19">
        <f t="shared" si="20"/>
        <v>94500</v>
      </c>
      <c r="H55" s="19">
        <f t="shared" si="20"/>
        <v>113400</v>
      </c>
      <c r="I55" s="19">
        <f t="shared" si="20"/>
        <v>132300</v>
      </c>
      <c r="J55" s="19">
        <f t="shared" si="20"/>
        <v>151200</v>
      </c>
    </row>
    <row r="56" spans="1:10" ht="14.25" customHeight="1" outlineLevel="1" x14ac:dyDescent="0.4">
      <c r="A56" s="18" t="s">
        <v>69</v>
      </c>
      <c r="C56" s="19">
        <f>+C54-C55</f>
        <v>170100</v>
      </c>
      <c r="D56" s="19">
        <f t="shared" ref="D56:J56" si="21">+D54-D55</f>
        <v>151200</v>
      </c>
      <c r="E56" s="19">
        <f t="shared" si="21"/>
        <v>132300</v>
      </c>
      <c r="F56" s="19">
        <f t="shared" si="21"/>
        <v>113400</v>
      </c>
      <c r="G56" s="19">
        <f t="shared" si="21"/>
        <v>94500</v>
      </c>
      <c r="H56" s="19">
        <f t="shared" si="21"/>
        <v>75600</v>
      </c>
      <c r="I56" s="19">
        <f t="shared" si="21"/>
        <v>56700</v>
      </c>
      <c r="J56" s="19">
        <f t="shared" si="21"/>
        <v>37800</v>
      </c>
    </row>
    <row r="57" spans="1:10" ht="14.25" customHeight="1" outlineLevel="1" x14ac:dyDescent="0.4">
      <c r="A57" s="18" t="s">
        <v>98</v>
      </c>
      <c r="C57" s="19">
        <f>+C23</f>
        <v>10500</v>
      </c>
      <c r="D57" s="19">
        <f t="shared" ref="D57:J57" si="22">+D23</f>
        <v>10500</v>
      </c>
      <c r="E57" s="19">
        <f t="shared" si="22"/>
        <v>10500</v>
      </c>
      <c r="F57" s="19">
        <f t="shared" si="22"/>
        <v>10500</v>
      </c>
      <c r="G57" s="19">
        <f t="shared" si="22"/>
        <v>10500</v>
      </c>
      <c r="H57" s="19">
        <f t="shared" si="22"/>
        <v>10500</v>
      </c>
      <c r="I57" s="19">
        <f t="shared" si="22"/>
        <v>10500</v>
      </c>
      <c r="J57" s="19">
        <f t="shared" si="22"/>
        <v>10500</v>
      </c>
    </row>
    <row r="58" spans="1:10" ht="14.25" customHeight="1" outlineLevel="1" x14ac:dyDescent="0.4">
      <c r="A58" s="67" t="s">
        <v>16</v>
      </c>
      <c r="B58" s="68"/>
      <c r="C58" s="69">
        <f>+C56+C57</f>
        <v>180600</v>
      </c>
      <c r="D58" s="69">
        <f t="shared" ref="D58:J58" si="23">+D56+D57</f>
        <v>161700</v>
      </c>
      <c r="E58" s="69">
        <f>+E56+E57</f>
        <v>142800</v>
      </c>
      <c r="F58" s="69">
        <f t="shared" si="23"/>
        <v>123900</v>
      </c>
      <c r="G58" s="69">
        <f t="shared" si="23"/>
        <v>105000</v>
      </c>
      <c r="H58" s="69">
        <f t="shared" si="23"/>
        <v>86100</v>
      </c>
      <c r="I58" s="69">
        <f t="shared" si="23"/>
        <v>67200</v>
      </c>
      <c r="J58" s="69">
        <f t="shared" si="23"/>
        <v>48300</v>
      </c>
    </row>
    <row r="59" spans="1:10" ht="14.25" customHeight="1" outlineLevel="1" x14ac:dyDescent="0.4">
      <c r="A59" s="70" t="s">
        <v>29</v>
      </c>
      <c r="B59" s="71"/>
      <c r="C59" s="72">
        <f>+C58+C52</f>
        <v>296874.375</v>
      </c>
      <c r="D59" s="72">
        <f t="shared" ref="D59:J59" si="24">+D58+D52</f>
        <v>289521.68437500001</v>
      </c>
      <c r="E59" s="72">
        <f t="shared" si="24"/>
        <v>263431.46123437502</v>
      </c>
      <c r="F59" s="72">
        <f t="shared" si="24"/>
        <v>278581.01466398436</v>
      </c>
      <c r="G59" s="72">
        <f t="shared" si="24"/>
        <v>245336.02120370249</v>
      </c>
      <c r="H59" s="72">
        <f t="shared" si="24"/>
        <v>243651.92843009162</v>
      </c>
      <c r="I59" s="72">
        <f t="shared" si="24"/>
        <v>204873.00591525107</v>
      </c>
      <c r="J59" s="72">
        <f t="shared" si="24"/>
        <v>209986.55903635218</v>
      </c>
    </row>
    <row r="60" spans="1:10" ht="14.25" customHeight="1" outlineLevel="1" x14ac:dyDescent="0.4"/>
    <row r="61" spans="1:10" ht="14.25" customHeight="1" outlineLevel="1" x14ac:dyDescent="0.4">
      <c r="A61" s="20" t="s">
        <v>20</v>
      </c>
    </row>
    <row r="62" spans="1:10" ht="14.25" customHeight="1" outlineLevel="1" x14ac:dyDescent="0.4">
      <c r="A62" s="21" t="s">
        <v>21</v>
      </c>
    </row>
    <row r="63" spans="1:10" ht="14.25" customHeight="1" outlineLevel="1" x14ac:dyDescent="0.4">
      <c r="A63" s="22" t="s">
        <v>22</v>
      </c>
      <c r="B63" s="23"/>
      <c r="C63" s="9">
        <f>+C59*C25</f>
        <v>31171.809375000004</v>
      </c>
      <c r="D63" s="9">
        <f t="shared" ref="D63:J63" si="25">+D59*D25</f>
        <v>30399.776859375004</v>
      </c>
      <c r="E63" s="9">
        <f t="shared" si="25"/>
        <v>27660.303429609379</v>
      </c>
      <c r="F63" s="9">
        <f>+F59*F25</f>
        <v>29251.006539718361</v>
      </c>
      <c r="G63" s="9">
        <f t="shared" si="25"/>
        <v>25760.282226388765</v>
      </c>
      <c r="H63" s="9">
        <f t="shared" si="25"/>
        <v>25583.452485159622</v>
      </c>
      <c r="I63" s="9">
        <f t="shared" si="25"/>
        <v>21511.665621101365</v>
      </c>
      <c r="J63" s="9">
        <f t="shared" si="25"/>
        <v>22048.58869881698</v>
      </c>
    </row>
    <row r="64" spans="1:10" ht="14.25" customHeight="1" outlineLevel="1" x14ac:dyDescent="0.4">
      <c r="A64" s="22" t="s">
        <v>23</v>
      </c>
      <c r="B64" s="23"/>
      <c r="C64" s="9">
        <f>+C59*C26</f>
        <v>17812.462499999998</v>
      </c>
      <c r="D64" s="9">
        <f t="shared" ref="D64:J64" si="26">+D59*D26</f>
        <v>17371.301062499999</v>
      </c>
      <c r="E64" s="9">
        <f t="shared" si="26"/>
        <v>15805.8876740625</v>
      </c>
      <c r="F64" s="9">
        <f t="shared" si="26"/>
        <v>16714.86087983906</v>
      </c>
      <c r="G64" s="9">
        <f t="shared" si="26"/>
        <v>14720.161272222149</v>
      </c>
      <c r="H64" s="9">
        <f t="shared" si="26"/>
        <v>14619.115705805496</v>
      </c>
      <c r="I64" s="9">
        <f t="shared" si="26"/>
        <v>12292.380354915063</v>
      </c>
      <c r="J64" s="9">
        <f t="shared" si="26"/>
        <v>12599.19354218113</v>
      </c>
    </row>
    <row r="65" spans="1:12" ht="14.25" customHeight="1" outlineLevel="1" x14ac:dyDescent="0.4">
      <c r="A65" s="73" t="s">
        <v>24</v>
      </c>
      <c r="B65" s="65"/>
      <c r="C65" s="66">
        <f>+C63+C64</f>
        <v>48984.271875000006</v>
      </c>
      <c r="D65" s="66">
        <f t="shared" ref="D65:J65" si="27">+D63+D64</f>
        <v>47771.077921875003</v>
      </c>
      <c r="E65" s="66">
        <f t="shared" si="27"/>
        <v>43466.191103671881</v>
      </c>
      <c r="F65" s="66">
        <f>+F63+F64</f>
        <v>45965.86741955742</v>
      </c>
      <c r="G65" s="66">
        <f t="shared" si="27"/>
        <v>40480.443498610912</v>
      </c>
      <c r="H65" s="66">
        <f t="shared" si="27"/>
        <v>40202.568190965118</v>
      </c>
      <c r="I65" s="66">
        <f t="shared" si="27"/>
        <v>33804.04597601643</v>
      </c>
      <c r="J65" s="66">
        <f t="shared" si="27"/>
        <v>34647.782240998109</v>
      </c>
    </row>
    <row r="66" spans="1:12" ht="14.25" customHeight="1" outlineLevel="1" x14ac:dyDescent="0.4">
      <c r="A66" s="24" t="s">
        <v>25</v>
      </c>
    </row>
    <row r="67" spans="1:12" ht="14.25" customHeight="1" outlineLevel="1" x14ac:dyDescent="0.4">
      <c r="A67" s="22" t="s">
        <v>26</v>
      </c>
      <c r="B67" s="23"/>
      <c r="C67" s="19">
        <f>+C59*C27</f>
        <v>62343.618750000009</v>
      </c>
      <c r="D67" s="19">
        <f t="shared" ref="D67:J67" si="28">+D59*D27</f>
        <v>60799.553718750009</v>
      </c>
      <c r="E67" s="19">
        <f t="shared" si="28"/>
        <v>55320.606859218758</v>
      </c>
      <c r="F67" s="19">
        <f t="shared" si="28"/>
        <v>58502.013079436721</v>
      </c>
      <c r="G67" s="19">
        <f t="shared" si="28"/>
        <v>51520.564452777529</v>
      </c>
      <c r="H67" s="19">
        <f t="shared" si="28"/>
        <v>51166.904970319243</v>
      </c>
      <c r="I67" s="19">
        <f t="shared" si="28"/>
        <v>43023.33124220273</v>
      </c>
      <c r="J67" s="19">
        <f t="shared" si="28"/>
        <v>44097.177397633961</v>
      </c>
    </row>
    <row r="68" spans="1:12" s="25" customFormat="1" ht="14.25" customHeight="1" outlineLevel="1" x14ac:dyDescent="0.4">
      <c r="A68" s="74" t="s">
        <v>27</v>
      </c>
      <c r="B68" s="75"/>
      <c r="C68" s="76">
        <f>+C67+C65</f>
        <v>111327.89062500001</v>
      </c>
      <c r="D68" s="76">
        <f t="shared" ref="D68:J68" si="29">+D67+D65</f>
        <v>108570.63164062501</v>
      </c>
      <c r="E68" s="76">
        <f t="shared" si="29"/>
        <v>98786.797962890647</v>
      </c>
      <c r="F68" s="76">
        <f>+F67+F65</f>
        <v>104467.88049899414</v>
      </c>
      <c r="G68" s="76">
        <f t="shared" si="29"/>
        <v>92001.007951388441</v>
      </c>
      <c r="H68" s="76">
        <f t="shared" si="29"/>
        <v>91369.473161284361</v>
      </c>
      <c r="I68" s="76">
        <f t="shared" si="29"/>
        <v>76827.377218219161</v>
      </c>
      <c r="J68" s="76">
        <f t="shared" si="29"/>
        <v>78744.959638632077</v>
      </c>
    </row>
    <row r="69" spans="1:12" ht="14.25" customHeight="1" outlineLevel="1" x14ac:dyDescent="0.4">
      <c r="A69" s="78" t="s">
        <v>28</v>
      </c>
      <c r="B69" s="68"/>
      <c r="C69" s="79">
        <v>185546.484375</v>
      </c>
      <c r="D69" s="79">
        <v>180951.052734375</v>
      </c>
      <c r="E69" s="79">
        <v>177113.41327148437</v>
      </c>
      <c r="F69" s="79">
        <v>174113.13416499022</v>
      </c>
      <c r="G69" s="79">
        <v>172038.13825231418</v>
      </c>
      <c r="H69" s="79">
        <v>170985.58026880716</v>
      </c>
      <c r="I69" s="79">
        <v>171062.81619703193</v>
      </c>
      <c r="J69" s="79">
        <v>172388.47439772027</v>
      </c>
    </row>
    <row r="70" spans="1:12" ht="14.25" customHeight="1" outlineLevel="1" x14ac:dyDescent="0.4">
      <c r="A70" s="77" t="s">
        <v>30</v>
      </c>
      <c r="B70" s="71"/>
      <c r="C70" s="72">
        <f>+C68+C69</f>
        <v>296874.375</v>
      </c>
      <c r="D70" s="72">
        <f t="shared" ref="D70:J70" si="30">+D68+D69</f>
        <v>289521.68437500001</v>
      </c>
      <c r="E70" s="72">
        <f t="shared" si="30"/>
        <v>275900.21123437502</v>
      </c>
      <c r="F70" s="72">
        <f>+F68+F69</f>
        <v>278581.01466398436</v>
      </c>
      <c r="G70" s="72">
        <f t="shared" si="30"/>
        <v>264039.14620370261</v>
      </c>
      <c r="H70" s="72">
        <f t="shared" si="30"/>
        <v>262355.05343009153</v>
      </c>
      <c r="I70" s="72">
        <f t="shared" si="30"/>
        <v>247890.19341525109</v>
      </c>
      <c r="J70" s="72">
        <f t="shared" si="30"/>
        <v>251133.43403635235</v>
      </c>
    </row>
    <row r="71" spans="1:12" ht="14.25" customHeight="1" x14ac:dyDescent="0.4">
      <c r="C71" s="19">
        <f>+C59-C70</f>
        <v>0</v>
      </c>
      <c r="D71" s="19">
        <f t="shared" ref="D71:J71" si="31">+D59-D70</f>
        <v>0</v>
      </c>
      <c r="E71" s="19">
        <f t="shared" si="31"/>
        <v>-12468.75</v>
      </c>
      <c r="F71" s="19">
        <f t="shared" si="31"/>
        <v>0</v>
      </c>
      <c r="G71" s="19">
        <f t="shared" si="31"/>
        <v>-18703.125000000116</v>
      </c>
      <c r="H71" s="19">
        <f t="shared" si="31"/>
        <v>-18703.124999999913</v>
      </c>
      <c r="I71" s="19">
        <f t="shared" si="31"/>
        <v>-43017.187500000029</v>
      </c>
      <c r="J71" s="19">
        <f t="shared" si="31"/>
        <v>-41146.875000000175</v>
      </c>
    </row>
    <row r="72" spans="1:12" ht="17.25" customHeight="1" x14ac:dyDescent="0.4">
      <c r="A72" s="101" t="s">
        <v>64</v>
      </c>
      <c r="B72" s="102"/>
      <c r="C72" s="102"/>
      <c r="D72" s="102"/>
      <c r="E72" s="102"/>
      <c r="F72" s="102"/>
      <c r="G72" s="102"/>
      <c r="H72" s="102"/>
      <c r="I72" s="102"/>
      <c r="J72" s="102"/>
    </row>
    <row r="73" spans="1:12" ht="14.25" customHeight="1" outlineLevel="1" x14ac:dyDescent="0.4"/>
    <row r="74" spans="1:12" ht="14.25" customHeight="1" outlineLevel="1" x14ac:dyDescent="0.4">
      <c r="A74" s="29" t="s">
        <v>66</v>
      </c>
    </row>
    <row r="75" spans="1:12" ht="14.25" customHeight="1" outlineLevel="1" x14ac:dyDescent="0.4">
      <c r="A75" s="1" t="s">
        <v>31</v>
      </c>
      <c r="C75" s="19">
        <f>+C59</f>
        <v>296874.375</v>
      </c>
      <c r="D75" s="19">
        <f t="shared" ref="D75:J75" si="32">+D59</f>
        <v>289521.68437500001</v>
      </c>
      <c r="E75" s="19">
        <f t="shared" si="32"/>
        <v>263431.46123437502</v>
      </c>
      <c r="F75" s="19">
        <f t="shared" si="32"/>
        <v>278581.01466398436</v>
      </c>
      <c r="G75" s="19">
        <f t="shared" si="32"/>
        <v>245336.02120370249</v>
      </c>
      <c r="H75" s="19">
        <f t="shared" si="32"/>
        <v>243651.92843009162</v>
      </c>
      <c r="I75" s="19">
        <f t="shared" si="32"/>
        <v>204873.00591525107</v>
      </c>
      <c r="J75" s="19">
        <f t="shared" si="32"/>
        <v>209986.55903635218</v>
      </c>
    </row>
    <row r="76" spans="1:12" ht="14.25" customHeight="1" outlineLevel="1" x14ac:dyDescent="0.45">
      <c r="A76" s="1" t="s">
        <v>32</v>
      </c>
      <c r="L76" s="28"/>
    </row>
    <row r="77" spans="1:12" ht="14.25" customHeight="1" outlineLevel="1" x14ac:dyDescent="0.45">
      <c r="A77" s="1" t="s">
        <v>77</v>
      </c>
      <c r="L77" s="28"/>
    </row>
    <row r="78" spans="1:12" ht="14.25" customHeight="1" outlineLevel="1" x14ac:dyDescent="0.4">
      <c r="A78" s="32" t="s">
        <v>33</v>
      </c>
      <c r="B78" s="32"/>
      <c r="C78" s="48">
        <f>+C75-C76-C77</f>
        <v>296874.375</v>
      </c>
      <c r="D78" s="48">
        <f t="shared" ref="D78:J78" si="33">+D75-D76-D77</f>
        <v>289521.68437500001</v>
      </c>
      <c r="E78" s="48">
        <f t="shared" si="33"/>
        <v>263431.46123437502</v>
      </c>
      <c r="F78" s="48">
        <f t="shared" si="33"/>
        <v>278581.01466398436</v>
      </c>
      <c r="G78" s="48">
        <f t="shared" si="33"/>
        <v>245336.02120370249</v>
      </c>
      <c r="H78" s="48">
        <f t="shared" si="33"/>
        <v>243651.92843009162</v>
      </c>
      <c r="I78" s="48">
        <f t="shared" si="33"/>
        <v>204873.00591525107</v>
      </c>
      <c r="J78" s="48">
        <f t="shared" si="33"/>
        <v>209986.55903635218</v>
      </c>
      <c r="K78" s="39" t="e">
        <f>+#REF!*(1+T_LP)</f>
        <v>#REF!</v>
      </c>
    </row>
    <row r="79" spans="1:12" ht="14.25" customHeight="1" outlineLevel="1" x14ac:dyDescent="0.4">
      <c r="A79" s="1" t="s">
        <v>78</v>
      </c>
      <c r="C79" s="19">
        <f>+D78-C78</f>
        <v>-7352.6906249999884</v>
      </c>
      <c r="D79" s="19">
        <f t="shared" ref="D79:I79" si="34">+E78-D78</f>
        <v>-26090.223140624992</v>
      </c>
      <c r="E79" s="19">
        <f t="shared" si="34"/>
        <v>15149.553429609339</v>
      </c>
      <c r="F79" s="19">
        <f t="shared" si="34"/>
        <v>-33244.993460281868</v>
      </c>
      <c r="G79" s="19">
        <f t="shared" si="34"/>
        <v>-1684.0927736108715</v>
      </c>
      <c r="H79" s="19">
        <f>+I78-H78</f>
        <v>-38778.922514840553</v>
      </c>
      <c r="I79" s="19">
        <f t="shared" si="34"/>
        <v>5113.5531211011112</v>
      </c>
      <c r="J79" s="19" t="e">
        <f>+#REF!-J78</f>
        <v>#REF!</v>
      </c>
    </row>
    <row r="80" spans="1:12" ht="14.25" customHeight="1" outlineLevel="1" x14ac:dyDescent="0.4"/>
    <row r="81" spans="1:10" ht="14.25" customHeight="1" outlineLevel="1" x14ac:dyDescent="0.4">
      <c r="A81" s="29" t="s">
        <v>11</v>
      </c>
    </row>
    <row r="82" spans="1:10" ht="14.25" customHeight="1" outlineLevel="1" x14ac:dyDescent="0.4">
      <c r="A82" s="30" t="s">
        <v>71</v>
      </c>
      <c r="C82" s="9">
        <f>+C21</f>
        <v>189000</v>
      </c>
      <c r="D82" s="9">
        <f t="shared" ref="D82:J82" si="35">+D21</f>
        <v>189000</v>
      </c>
      <c r="E82" s="9">
        <f t="shared" si="35"/>
        <v>189000</v>
      </c>
      <c r="F82" s="9">
        <f t="shared" si="35"/>
        <v>189000</v>
      </c>
      <c r="G82" s="9">
        <f t="shared" si="35"/>
        <v>189000</v>
      </c>
      <c r="H82" s="9">
        <f t="shared" si="35"/>
        <v>189000</v>
      </c>
      <c r="I82" s="9">
        <f t="shared" si="35"/>
        <v>189000</v>
      </c>
      <c r="J82" s="9">
        <f t="shared" si="35"/>
        <v>189000</v>
      </c>
    </row>
    <row r="83" spans="1:10" ht="14.25" customHeight="1" outlineLevel="1" x14ac:dyDescent="0.4">
      <c r="A83" s="1" t="s">
        <v>70</v>
      </c>
      <c r="C83" s="9">
        <f>+C82*C16</f>
        <v>18900</v>
      </c>
      <c r="D83" s="9">
        <f t="shared" ref="D83:J83" si="36">+D82*D16</f>
        <v>18900</v>
      </c>
      <c r="E83" s="9">
        <f t="shared" si="36"/>
        <v>18900</v>
      </c>
      <c r="F83" s="9">
        <f t="shared" si="36"/>
        <v>18900</v>
      </c>
      <c r="G83" s="9">
        <f t="shared" si="36"/>
        <v>18900</v>
      </c>
      <c r="H83" s="9">
        <f t="shared" si="36"/>
        <v>18900</v>
      </c>
      <c r="I83" s="9">
        <f t="shared" si="36"/>
        <v>18900</v>
      </c>
      <c r="J83" s="9">
        <f t="shared" si="36"/>
        <v>18900</v>
      </c>
    </row>
    <row r="84" spans="1:10" ht="14.25" customHeight="1" outlineLevel="1" x14ac:dyDescent="0.4">
      <c r="A84" s="30" t="s">
        <v>74</v>
      </c>
      <c r="C84" s="19">
        <f>+C83</f>
        <v>18900</v>
      </c>
      <c r="D84" s="19">
        <f>+C84+D83</f>
        <v>37800</v>
      </c>
      <c r="E84" s="19">
        <f t="shared" ref="E84:J84" si="37">+D84+E83</f>
        <v>56700</v>
      </c>
      <c r="F84" s="19">
        <f t="shared" si="37"/>
        <v>75600</v>
      </c>
      <c r="G84" s="19">
        <f t="shared" si="37"/>
        <v>94500</v>
      </c>
      <c r="H84" s="19">
        <f t="shared" si="37"/>
        <v>113400</v>
      </c>
      <c r="I84" s="19">
        <f t="shared" si="37"/>
        <v>132300</v>
      </c>
      <c r="J84" s="19">
        <f t="shared" si="37"/>
        <v>151200</v>
      </c>
    </row>
    <row r="85" spans="1:10" ht="14.25" customHeight="1" outlineLevel="1" x14ac:dyDescent="0.4">
      <c r="A85" s="31" t="s">
        <v>72</v>
      </c>
      <c r="B85" s="32"/>
      <c r="C85" s="33">
        <f>+C82-C84</f>
        <v>170100</v>
      </c>
      <c r="D85" s="33">
        <f t="shared" ref="D85:J85" si="38">+D82-D84</f>
        <v>151200</v>
      </c>
      <c r="E85" s="33">
        <f t="shared" si="38"/>
        <v>132300</v>
      </c>
      <c r="F85" s="33">
        <f t="shared" si="38"/>
        <v>113400</v>
      </c>
      <c r="G85" s="33">
        <f t="shared" si="38"/>
        <v>94500</v>
      </c>
      <c r="H85" s="33">
        <f t="shared" si="38"/>
        <v>75600</v>
      </c>
      <c r="I85" s="33">
        <f t="shared" si="38"/>
        <v>56700</v>
      </c>
      <c r="J85" s="33">
        <f t="shared" si="38"/>
        <v>37800</v>
      </c>
    </row>
    <row r="86" spans="1:10" ht="14.25" customHeight="1" outlineLevel="1" x14ac:dyDescent="0.4">
      <c r="A86" s="30"/>
    </row>
    <row r="87" spans="1:10" ht="14.25" customHeight="1" outlineLevel="1" x14ac:dyDescent="0.4">
      <c r="A87" s="29" t="s">
        <v>67</v>
      </c>
    </row>
    <row r="88" spans="1:10" ht="14.25" customHeight="1" outlineLevel="1" x14ac:dyDescent="0.4">
      <c r="A88" s="1" t="s">
        <v>73</v>
      </c>
      <c r="C88" s="19">
        <f>+C68</f>
        <v>111327.89062500001</v>
      </c>
      <c r="D88" s="19">
        <f t="shared" ref="D88:J88" si="39">+D68</f>
        <v>108570.63164062501</v>
      </c>
      <c r="E88" s="19">
        <f t="shared" si="39"/>
        <v>98786.797962890647</v>
      </c>
      <c r="F88" s="19">
        <f t="shared" si="39"/>
        <v>104467.88049899414</v>
      </c>
      <c r="G88" s="19">
        <f t="shared" si="39"/>
        <v>92001.007951388441</v>
      </c>
      <c r="H88" s="19">
        <f t="shared" si="39"/>
        <v>91369.473161284361</v>
      </c>
      <c r="I88" s="19">
        <f t="shared" si="39"/>
        <v>76827.377218219161</v>
      </c>
      <c r="J88" s="19">
        <f t="shared" si="39"/>
        <v>78744.959638632077</v>
      </c>
    </row>
    <row r="89" spans="1:10" ht="14.25" customHeight="1" outlineLevel="1" x14ac:dyDescent="0.4">
      <c r="A89" s="1" t="s">
        <v>0</v>
      </c>
      <c r="B89" s="34">
        <f>+B107</f>
        <v>7.3499999999999996E-2</v>
      </c>
      <c r="C89" s="19">
        <f>+C88*$B$89</f>
        <v>8182.5999609375003</v>
      </c>
      <c r="D89" s="19">
        <f t="shared" ref="D89:J89" si="40">+D88*$B$89</f>
        <v>7979.9414255859383</v>
      </c>
      <c r="E89" s="19">
        <f>+E88*$B$89</f>
        <v>7260.8296502724625</v>
      </c>
      <c r="F89" s="19">
        <f t="shared" si="40"/>
        <v>7678.3892166760688</v>
      </c>
      <c r="G89" s="19">
        <f>+G88*$B$89</f>
        <v>6762.0740844270504</v>
      </c>
      <c r="H89" s="19">
        <f t="shared" si="40"/>
        <v>6715.6562773544001</v>
      </c>
      <c r="I89" s="19">
        <f t="shared" si="40"/>
        <v>5646.8122255391081</v>
      </c>
      <c r="J89" s="19">
        <f t="shared" si="40"/>
        <v>5787.7545334394572</v>
      </c>
    </row>
    <row r="90" spans="1:10" ht="14.25" customHeight="1" outlineLevel="1" x14ac:dyDescent="0.4">
      <c r="B90" s="34"/>
      <c r="C90" s="19"/>
      <c r="D90" s="19"/>
      <c r="E90" s="19"/>
      <c r="F90" s="19"/>
      <c r="G90" s="19"/>
      <c r="H90" s="19"/>
      <c r="I90" s="19"/>
      <c r="J90" s="19"/>
    </row>
    <row r="91" spans="1:10" ht="14.25" customHeight="1" outlineLevel="1" x14ac:dyDescent="0.4">
      <c r="A91" s="1" t="s">
        <v>81</v>
      </c>
      <c r="B91" s="34"/>
      <c r="C91" s="19"/>
      <c r="D91" s="19"/>
      <c r="E91" s="19"/>
      <c r="F91" s="19"/>
      <c r="G91" s="19"/>
      <c r="H91" s="19"/>
      <c r="I91" s="19"/>
      <c r="J91" s="19"/>
    </row>
    <row r="92" spans="1:10" ht="14.25" customHeight="1" outlineLevel="1" x14ac:dyDescent="0.4">
      <c r="A92" s="1" t="s">
        <v>80</v>
      </c>
      <c r="B92" s="34">
        <f>SUM(B25:B27)</f>
        <v>0.375</v>
      </c>
      <c r="C92" s="19"/>
      <c r="D92" s="19"/>
      <c r="E92" s="19"/>
      <c r="F92" s="19"/>
      <c r="G92" s="19"/>
      <c r="H92" s="19"/>
      <c r="I92" s="19"/>
      <c r="J92" s="19"/>
    </row>
    <row r="93" spans="1:10" ht="14.25" customHeight="1" outlineLevel="1" x14ac:dyDescent="0.4">
      <c r="A93" s="1" t="s">
        <v>82</v>
      </c>
      <c r="B93" s="34">
        <f>1-B92</f>
        <v>0.625</v>
      </c>
      <c r="C93" s="19"/>
      <c r="D93" s="19"/>
      <c r="E93" s="19"/>
      <c r="F93" s="19"/>
      <c r="G93" s="19"/>
      <c r="H93" s="19"/>
      <c r="I93" s="19"/>
      <c r="J93" s="19"/>
    </row>
    <row r="95" spans="1:10" ht="17.25" customHeight="1" x14ac:dyDescent="0.4">
      <c r="A95" s="101" t="s">
        <v>76</v>
      </c>
      <c r="B95" s="102"/>
      <c r="C95" s="102"/>
      <c r="D95" s="102"/>
      <c r="E95" s="102"/>
      <c r="F95" s="102"/>
      <c r="G95" s="102"/>
      <c r="H95" s="102"/>
      <c r="I95" s="102"/>
      <c r="J95" s="102"/>
    </row>
    <row r="96" spans="1:10" ht="14.25" customHeight="1" outlineLevel="1" x14ac:dyDescent="0.4"/>
    <row r="97" spans="1:10" ht="14.25" customHeight="1" outlineLevel="1" x14ac:dyDescent="0.4">
      <c r="A97" s="27" t="s">
        <v>62</v>
      </c>
      <c r="B97" s="104">
        <v>2.1000000000000001E-2</v>
      </c>
    </row>
    <row r="98" spans="1:10" ht="14.25" customHeight="1" outlineLevel="1" x14ac:dyDescent="0.4">
      <c r="A98" s="3"/>
      <c r="B98" s="105"/>
    </row>
    <row r="99" spans="1:10" ht="14.25" customHeight="1" outlineLevel="1" x14ac:dyDescent="0.4">
      <c r="A99" s="42" t="s">
        <v>86</v>
      </c>
      <c r="B99" s="105"/>
    </row>
    <row r="100" spans="1:10" ht="14.25" customHeight="1" outlineLevel="1" x14ac:dyDescent="0.4">
      <c r="A100" s="3" t="s">
        <v>84</v>
      </c>
      <c r="B100" s="104">
        <v>0.02</v>
      </c>
    </row>
    <row r="101" spans="1:10" ht="14.25" customHeight="1" outlineLevel="1" x14ac:dyDescent="0.4">
      <c r="A101" s="3" t="s">
        <v>63</v>
      </c>
      <c r="B101" s="8">
        <v>1.8</v>
      </c>
    </row>
    <row r="102" spans="1:10" ht="14.25" customHeight="1" outlineLevel="1" x14ac:dyDescent="0.4">
      <c r="A102" s="3" t="s">
        <v>85</v>
      </c>
      <c r="B102" s="104">
        <v>0.09</v>
      </c>
    </row>
    <row r="103" spans="1:10" ht="14.25" customHeight="1" outlineLevel="1" x14ac:dyDescent="0.4">
      <c r="A103" s="3" t="s">
        <v>97</v>
      </c>
      <c r="B103" s="104">
        <v>1.7000000000000001E-2</v>
      </c>
    </row>
    <row r="104" spans="1:10" s="25" customFormat="1" ht="14.25" customHeight="1" outlineLevel="1" x14ac:dyDescent="0.4">
      <c r="A104" s="43" t="s">
        <v>65</v>
      </c>
      <c r="B104" s="106">
        <f>+B100+B101*B102+B103</f>
        <v>0.19900000000000001</v>
      </c>
    </row>
    <row r="105" spans="1:10" ht="14.25" customHeight="1" outlineLevel="1" x14ac:dyDescent="0.4">
      <c r="B105" s="105"/>
    </row>
    <row r="106" spans="1:10" ht="14.25" customHeight="1" outlineLevel="1" x14ac:dyDescent="0.4">
      <c r="A106" s="25" t="s">
        <v>88</v>
      </c>
      <c r="B106" s="105"/>
    </row>
    <row r="107" spans="1:10" ht="14.25" customHeight="1" outlineLevel="1" x14ac:dyDescent="0.4">
      <c r="A107" s="1" t="s">
        <v>89</v>
      </c>
      <c r="B107" s="104">
        <v>7.3499999999999996E-2</v>
      </c>
    </row>
    <row r="108" spans="1:10" ht="14.25" customHeight="1" outlineLevel="1" x14ac:dyDescent="0.4">
      <c r="A108" s="3" t="s">
        <v>83</v>
      </c>
      <c r="B108" s="104">
        <v>0.29499999999999998</v>
      </c>
    </row>
    <row r="109" spans="1:10" ht="14.25" customHeight="1" outlineLevel="1" x14ac:dyDescent="0.4">
      <c r="A109" s="3" t="s">
        <v>87</v>
      </c>
      <c r="B109" s="105">
        <f>+B104</f>
        <v>0.19900000000000001</v>
      </c>
    </row>
    <row r="110" spans="1:10" s="25" customFormat="1" ht="14.25" customHeight="1" outlineLevel="1" x14ac:dyDescent="0.4">
      <c r="A110" s="43" t="s">
        <v>38</v>
      </c>
      <c r="B110" s="106">
        <f>B107*(1-B108)*B92+B109*B93</f>
        <v>0.14380656250000001</v>
      </c>
    </row>
    <row r="111" spans="1:10" ht="14.25" customHeight="1" outlineLevel="1" x14ac:dyDescent="0.4">
      <c r="B111" s="107"/>
    </row>
    <row r="112" spans="1:10" ht="14.25" customHeight="1" outlineLevel="1" x14ac:dyDescent="0.4">
      <c r="A112" s="1" t="s">
        <v>12</v>
      </c>
      <c r="C112" s="19">
        <f>+C41</f>
        <v>9662.625</v>
      </c>
      <c r="D112" s="19">
        <f t="shared" ref="D112:J112" si="41">+D41</f>
        <v>11283.575624999998</v>
      </c>
      <c r="E112" s="19">
        <f t="shared" si="41"/>
        <v>-3775.2739343749854</v>
      </c>
      <c r="F112" s="19">
        <f t="shared" si="41"/>
        <v>15053.947302515626</v>
      </c>
      <c r="G112" s="19">
        <f t="shared" si="41"/>
        <v>-8034.013230720404</v>
      </c>
      <c r="H112" s="19">
        <f t="shared" si="41"/>
        <v>-5617.3346199457446</v>
      </c>
      <c r="I112" s="19">
        <f t="shared" si="41"/>
        <v>-35804.404755040174</v>
      </c>
      <c r="J112" s="19">
        <f t="shared" si="41"/>
        <v>-30326.079754319624</v>
      </c>
    </row>
    <row r="113" spans="1:10" ht="14.25" customHeight="1" outlineLevel="1" x14ac:dyDescent="0.4">
      <c r="A113" s="35" t="s">
        <v>1</v>
      </c>
      <c r="B113" s="36">
        <f>+B108</f>
        <v>0.29499999999999998</v>
      </c>
      <c r="C113" s="37">
        <f>+C112*$B$113</f>
        <v>2850.4743749999998</v>
      </c>
      <c r="D113" s="37">
        <f t="shared" ref="D113:J113" si="42">+D112*$B$113</f>
        <v>3328.6548093749993</v>
      </c>
      <c r="E113" s="37">
        <f t="shared" si="42"/>
        <v>-1113.7058106406207</v>
      </c>
      <c r="F113" s="37">
        <f t="shared" si="42"/>
        <v>4440.9144542421091</v>
      </c>
      <c r="G113" s="37">
        <f t="shared" si="42"/>
        <v>-2370.0339030625191</v>
      </c>
      <c r="H113" s="37">
        <f t="shared" si="42"/>
        <v>-1657.1137128839946</v>
      </c>
      <c r="I113" s="37">
        <f t="shared" si="42"/>
        <v>-10562.299402736851</v>
      </c>
      <c r="J113" s="37">
        <f t="shared" si="42"/>
        <v>-8946.1935275242886</v>
      </c>
    </row>
    <row r="114" spans="1:10" s="25" customFormat="1" ht="14.25" customHeight="1" outlineLevel="1" x14ac:dyDescent="0.4">
      <c r="A114" s="80" t="s">
        <v>34</v>
      </c>
      <c r="B114" s="80"/>
      <c r="C114" s="81">
        <f>+C112-C113</f>
        <v>6812.1506250000002</v>
      </c>
      <c r="D114" s="81">
        <f t="shared" ref="D114:J114" si="43">+D112-D113</f>
        <v>7954.9208156249988</v>
      </c>
      <c r="E114" s="81">
        <f t="shared" si="43"/>
        <v>-2661.5681237343647</v>
      </c>
      <c r="F114" s="81">
        <f t="shared" si="43"/>
        <v>10613.032848273517</v>
      </c>
      <c r="G114" s="81">
        <f t="shared" si="43"/>
        <v>-5663.9793276578848</v>
      </c>
      <c r="H114" s="81">
        <f t="shared" si="43"/>
        <v>-3960.22090706175</v>
      </c>
      <c r="I114" s="81">
        <f t="shared" si="43"/>
        <v>-25242.105352303322</v>
      </c>
      <c r="J114" s="81">
        <f t="shared" si="43"/>
        <v>-21379.886226795337</v>
      </c>
    </row>
    <row r="115" spans="1:10" ht="14.25" customHeight="1" outlineLevel="1" x14ac:dyDescent="0.4">
      <c r="A115" s="1" t="s">
        <v>35</v>
      </c>
      <c r="C115" s="19">
        <f>+C79</f>
        <v>-7352.6906249999884</v>
      </c>
      <c r="D115" s="19">
        <f t="shared" ref="D115:J115" si="44">+D79</f>
        <v>-26090.223140624992</v>
      </c>
      <c r="E115" s="19">
        <f t="shared" si="44"/>
        <v>15149.553429609339</v>
      </c>
      <c r="F115" s="19">
        <f t="shared" si="44"/>
        <v>-33244.993460281868</v>
      </c>
      <c r="G115" s="19">
        <f t="shared" si="44"/>
        <v>-1684.0927736108715</v>
      </c>
      <c r="H115" s="19">
        <f t="shared" si="44"/>
        <v>-38778.922514840553</v>
      </c>
      <c r="I115" s="19">
        <f t="shared" si="44"/>
        <v>5113.5531211011112</v>
      </c>
      <c r="J115" s="19" t="e">
        <f t="shared" si="44"/>
        <v>#REF!</v>
      </c>
    </row>
    <row r="116" spans="1:10" s="25" customFormat="1" ht="14.25" customHeight="1" outlineLevel="1" x14ac:dyDescent="0.4">
      <c r="A116" s="38" t="s">
        <v>36</v>
      </c>
      <c r="B116" s="38"/>
      <c r="C116" s="40">
        <f>+C114-C115</f>
        <v>14164.841249999989</v>
      </c>
      <c r="D116" s="40">
        <f t="shared" ref="D116:J116" si="45">+D114-D115</f>
        <v>34045.143956249987</v>
      </c>
      <c r="E116" s="40">
        <f t="shared" si="45"/>
        <v>-17811.121553343703</v>
      </c>
      <c r="F116" s="40">
        <f t="shared" si="45"/>
        <v>43858.026308555389</v>
      </c>
      <c r="G116" s="40">
        <f t="shared" si="45"/>
        <v>-3979.8865540470133</v>
      </c>
      <c r="H116" s="40">
        <f t="shared" si="45"/>
        <v>34818.701607778799</v>
      </c>
      <c r="I116" s="40">
        <f t="shared" si="45"/>
        <v>-30355.658473404434</v>
      </c>
      <c r="J116" s="40" t="e">
        <f t="shared" si="45"/>
        <v>#REF!</v>
      </c>
    </row>
    <row r="117" spans="1:10" ht="14.25" customHeight="1" outlineLevel="1" x14ac:dyDescent="0.4"/>
    <row r="118" spans="1:10" ht="14.25" customHeight="1" outlineLevel="1" x14ac:dyDescent="0.4">
      <c r="A118" s="103" t="s">
        <v>37</v>
      </c>
      <c r="C118" s="41">
        <f>+C114/C78</f>
        <v>2.2946239886820815E-2</v>
      </c>
      <c r="D118" s="41">
        <f t="shared" ref="D118:J118" si="46">+D114/D78</f>
        <v>2.7476079495729475E-2</v>
      </c>
      <c r="E118" s="41">
        <f t="shared" si="46"/>
        <v>-1.0103455795533726E-2</v>
      </c>
      <c r="F118" s="41">
        <f t="shared" si="46"/>
        <v>3.8096755663965913E-2</v>
      </c>
      <c r="G118" s="41">
        <f t="shared" si="46"/>
        <v>-2.3086619322627244E-2</v>
      </c>
      <c r="H118" s="41">
        <f t="shared" si="46"/>
        <v>-1.6253599684510657E-2</v>
      </c>
      <c r="I118" s="41">
        <f t="shared" si="46"/>
        <v>-0.1232085468729107</v>
      </c>
      <c r="J118" s="41">
        <f t="shared" si="46"/>
        <v>-0.10181549869148587</v>
      </c>
    </row>
    <row r="119" spans="1:10" ht="14.25" customHeight="1" outlineLevel="1" x14ac:dyDescent="0.4">
      <c r="A119" s="103" t="s">
        <v>38</v>
      </c>
      <c r="C119" s="34">
        <f t="shared" ref="C119:J119" si="47">+wacc</f>
        <v>0.14380656250000001</v>
      </c>
      <c r="D119" s="34">
        <f t="shared" si="47"/>
        <v>0.14380656250000001</v>
      </c>
      <c r="E119" s="34">
        <f t="shared" si="47"/>
        <v>0.14380656250000001</v>
      </c>
      <c r="F119" s="34">
        <f t="shared" si="47"/>
        <v>0.14380656250000001</v>
      </c>
      <c r="G119" s="34">
        <f t="shared" si="47"/>
        <v>0.14380656250000001</v>
      </c>
      <c r="H119" s="34">
        <f t="shared" si="47"/>
        <v>0.14380656250000001</v>
      </c>
      <c r="I119" s="34">
        <f t="shared" si="47"/>
        <v>0.14380656250000001</v>
      </c>
      <c r="J119" s="34">
        <f t="shared" si="47"/>
        <v>0.14380656250000001</v>
      </c>
    </row>
    <row r="120" spans="1:10" ht="14.25" customHeight="1" outlineLevel="1" x14ac:dyDescent="0.4">
      <c r="A120" s="82" t="s">
        <v>79</v>
      </c>
      <c r="B120" s="82"/>
      <c r="C120" s="83">
        <f>+C78*(C118-C119)</f>
        <v>-35880.332738085941</v>
      </c>
      <c r="D120" s="83">
        <f t="shared" ref="D120:J120" si="48">+D78*(D118-D119)</f>
        <v>-33680.197383553721</v>
      </c>
      <c r="E120" s="83">
        <f t="shared" si="48"/>
        <v>-40544.74101820185</v>
      </c>
      <c r="F120" s="83">
        <f t="shared" si="48"/>
        <v>-29448.745248316169</v>
      </c>
      <c r="G120" s="83">
        <f t="shared" si="48"/>
        <v>-40944.909194389453</v>
      </c>
      <c r="H120" s="83">
        <f t="shared" si="48"/>
        <v>-38998.967181089247</v>
      </c>
      <c r="I120" s="83">
        <f t="shared" si="48"/>
        <v>-54704.188082017754</v>
      </c>
      <c r="J120" s="83">
        <f t="shared" si="48"/>
        <v>-51577.331453016457</v>
      </c>
    </row>
    <row r="121" spans="1:10" ht="14.25" customHeight="1" outlineLevel="1" x14ac:dyDescent="0.4"/>
    <row r="122" spans="1:10" ht="14.25" customHeight="1" outlineLevel="1" x14ac:dyDescent="0.4">
      <c r="A122" s="103" t="s">
        <v>39</v>
      </c>
      <c r="B122" s="103"/>
      <c r="C122" s="47">
        <f t="shared" ref="C122:J122" si="49">1/(1+wacc)^C2</f>
        <v>0.66825504808177483</v>
      </c>
      <c r="D122" s="47">
        <f t="shared" si="49"/>
        <v>0.58423781607021064</v>
      </c>
      <c r="E122" s="47">
        <f t="shared" si="49"/>
        <v>0.51078375944377452</v>
      </c>
      <c r="F122" s="47">
        <f t="shared" si="49"/>
        <v>0.44656480928677522</v>
      </c>
      <c r="G122" s="47">
        <f t="shared" si="49"/>
        <v>0.39041986986918975</v>
      </c>
      <c r="H122" s="47">
        <f t="shared" si="49"/>
        <v>0.34133382572648924</v>
      </c>
      <c r="I122" s="47">
        <f t="shared" si="49"/>
        <v>0.29841918810156259</v>
      </c>
      <c r="J122" s="47">
        <f t="shared" si="49"/>
        <v>0.26090004891151569</v>
      </c>
    </row>
    <row r="123" spans="1:10" ht="14.25" customHeight="1" outlineLevel="1" x14ac:dyDescent="0.4">
      <c r="A123" s="68" t="s">
        <v>40</v>
      </c>
      <c r="B123" s="68"/>
      <c r="C123" s="79">
        <f>+C116*C122</f>
        <v>9465.726670589449</v>
      </c>
      <c r="D123" s="79">
        <f t="shared" ref="D123:J123" si="50">+D116*D122</f>
        <v>19890.460552795423</v>
      </c>
      <c r="E123" s="79">
        <f t="shared" si="50"/>
        <v>-9097.6316269269373</v>
      </c>
      <c r="F123" s="79">
        <f t="shared" si="50"/>
        <v>19585.451154174407</v>
      </c>
      <c r="G123" s="79">
        <f t="shared" si="50"/>
        <v>-1553.826790525173</v>
      </c>
      <c r="H123" s="79">
        <f t="shared" si="50"/>
        <v>11884.800626612199</v>
      </c>
      <c r="I123" s="79">
        <f>+I116*I122</f>
        <v>-9058.7109559216697</v>
      </c>
      <c r="J123" s="79" t="e">
        <f t="shared" si="50"/>
        <v>#REF!</v>
      </c>
    </row>
    <row r="124" spans="1:10" ht="14.25" customHeight="1" outlineLevel="1" x14ac:dyDescent="0.4">
      <c r="C124" s="9"/>
      <c r="D124" s="9"/>
      <c r="E124" s="9"/>
      <c r="F124" s="9"/>
      <c r="G124" s="9"/>
      <c r="H124" s="9"/>
      <c r="I124" s="9"/>
      <c r="J124" s="9"/>
    </row>
    <row r="125" spans="1:10" ht="14.25" customHeight="1" outlineLevel="1" thickBot="1" x14ac:dyDescent="0.45">
      <c r="A125" s="68" t="s">
        <v>41</v>
      </c>
      <c r="B125" s="68"/>
      <c r="C125" s="79">
        <f t="shared" ref="C125:J125" si="51">+C122*C120</f>
        <v>-23977.213479079699</v>
      </c>
      <c r="D125" s="79">
        <f t="shared" si="51"/>
        <v>-19677.244964181049</v>
      </c>
      <c r="E125" s="79">
        <f t="shared" si="51"/>
        <v>-20709.595242951353</v>
      </c>
      <c r="F125" s="79">
        <f t="shared" si="51"/>
        <v>-13150.773305549137</v>
      </c>
      <c r="G125" s="79">
        <f t="shared" si="51"/>
        <v>-15985.70611947932</v>
      </c>
      <c r="H125" s="79">
        <f t="shared" si="51"/>
        <v>-13311.66666730299</v>
      </c>
      <c r="I125" s="79">
        <f t="shared" si="51"/>
        <v>-16324.779393190915</v>
      </c>
      <c r="J125" s="79">
        <f t="shared" si="51"/>
        <v>-13456.528298817449</v>
      </c>
    </row>
    <row r="126" spans="1:10" ht="14.25" customHeight="1" outlineLevel="1" thickBot="1" x14ac:dyDescent="0.45">
      <c r="A126" s="44" t="s">
        <v>42</v>
      </c>
      <c r="B126" s="45"/>
      <c r="C126" s="46">
        <f>SUM(C125:J125)</f>
        <v>-136593.50747055191</v>
      </c>
    </row>
    <row r="128" spans="1:10" ht="17.25" customHeight="1" x14ac:dyDescent="0.4">
      <c r="A128" s="101" t="s">
        <v>90</v>
      </c>
      <c r="B128" s="102"/>
      <c r="C128" s="102"/>
      <c r="D128" s="102"/>
      <c r="E128" s="102"/>
      <c r="F128" s="102"/>
      <c r="G128" s="102"/>
      <c r="H128" s="102"/>
      <c r="I128" s="102"/>
      <c r="J128" s="102"/>
    </row>
    <row r="129" spans="1:4" ht="14.25" customHeight="1" outlineLevel="1" x14ac:dyDescent="0.4"/>
    <row r="130" spans="1:4" ht="14.25" customHeight="1" outlineLevel="1" x14ac:dyDescent="0.4">
      <c r="A130" s="1" t="s">
        <v>91</v>
      </c>
      <c r="B130" s="84">
        <v>0.20167783794222838</v>
      </c>
      <c r="C130" s="55"/>
      <c r="D130" s="54"/>
    </row>
    <row r="131" spans="1:4" ht="14.25" customHeight="1" outlineLevel="1" x14ac:dyDescent="0.4">
      <c r="A131" s="1" t="s">
        <v>38</v>
      </c>
      <c r="B131" s="85">
        <f>wacc</f>
        <v>0.14380656250000001</v>
      </c>
      <c r="C131" s="53"/>
    </row>
    <row r="132" spans="1:4" ht="14.25" customHeight="1" outlineLevel="1" x14ac:dyDescent="0.4"/>
    <row r="133" spans="1:4" ht="14.25" customHeight="1" outlineLevel="1" x14ac:dyDescent="0.4">
      <c r="A133" s="1" t="s">
        <v>92</v>
      </c>
      <c r="B133" s="84">
        <f>+tir-B131</f>
        <v>5.7871275442228365E-2</v>
      </c>
    </row>
  </sheetData>
  <phoneticPr fontId="18" type="noConversion"/>
  <conditionalFormatting sqref="B33:B36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{1A817E77-278C-45B1-AE3A-67892325565F}</x14:id>
        </ext>
      </extLst>
    </cfRule>
  </conditionalFormatting>
  <conditionalFormatting sqref="B38:B42 B44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{69140D79-28AA-4241-B6F7-9DF8442E79D8}</x14:id>
        </ext>
      </extLst>
    </cfRule>
  </conditionalFormatting>
  <conditionalFormatting sqref="B3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{C56BACE8-1F2D-4D59-B991-B807B988E10A}</x14:id>
        </ext>
      </extLst>
    </cfRule>
  </conditionalFormatting>
  <conditionalFormatting sqref="B133">
    <cfRule type="iconSet" priority="13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ignoredErrors>
    <ignoredError sqref="B98:B99 C6:J6 C7 C33:J33 C38:J38 C34:J36 C37:J37 C32:J32 C41:J41 C44 D44:F44 G44:J44" unlockedFormula="1"/>
    <ignoredError sqref="D7:J7" formula="1" unlockedFormula="1"/>
    <ignoredError sqref="C115:J1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817E77-278C-45B1-AE3A-67892325565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B33:B36</xm:sqref>
        </x14:conditionalFormatting>
        <x14:conditionalFormatting xmlns:xm="http://schemas.microsoft.com/office/excel/2006/main">
          <x14:cfRule type="dataBar" id="{69140D79-28AA-4241-B6F7-9DF8442E79D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B38:B42 B44</xm:sqref>
        </x14:conditionalFormatting>
        <x14:conditionalFormatting xmlns:xm="http://schemas.microsoft.com/office/excel/2006/main">
          <x14:cfRule type="dataBar" id="{C56BACE8-1F2D-4D59-B991-B807B988E1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8CBC-732F-4B2A-ADF9-34BAE3E525B7}">
  <sheetPr codeName="Hoja3"/>
  <dimension ref="A2:J89"/>
  <sheetViews>
    <sheetView showGridLines="0" zoomScale="130" zoomScaleNormal="130" workbookViewId="0">
      <selection activeCell="E95" sqref="E95"/>
    </sheetView>
  </sheetViews>
  <sheetFormatPr baseColWidth="10" defaultRowHeight="12.3" x14ac:dyDescent="0.4"/>
  <cols>
    <col min="1" max="1" width="36.33203125" bestFit="1" customWidth="1"/>
    <col min="2" max="2" width="25.27734375" customWidth="1"/>
    <col min="3" max="3" width="12.38671875" bestFit="1" customWidth="1"/>
    <col min="4" max="10" width="11.44140625" bestFit="1" customWidth="1"/>
  </cols>
  <sheetData>
    <row r="2" spans="1:10" x14ac:dyDescent="0.4">
      <c r="A2" s="109" t="s">
        <v>116</v>
      </c>
      <c r="B2" s="110" t="s">
        <v>125</v>
      </c>
      <c r="C2" s="111" t="s">
        <v>117</v>
      </c>
      <c r="D2" s="111" t="s">
        <v>118</v>
      </c>
      <c r="E2" s="111" t="s">
        <v>119</v>
      </c>
      <c r="F2" s="111" t="s">
        <v>120</v>
      </c>
      <c r="G2" s="111" t="s">
        <v>121</v>
      </c>
      <c r="H2" s="111" t="s">
        <v>122</v>
      </c>
      <c r="I2" s="111" t="s">
        <v>123</v>
      </c>
      <c r="J2" s="111" t="s">
        <v>124</v>
      </c>
    </row>
    <row r="3" spans="1:10" x14ac:dyDescent="0.4">
      <c r="A3" s="109" t="s">
        <v>93</v>
      </c>
      <c r="B3" s="114" cm="1">
        <f t="array" ref="B3:J3">VLOOKUP($A3,'Modelo Económico-Financiero'!$A$5:$J$133,{2,3,4,5,6,7,8,9,10},0)</f>
        <v>0</v>
      </c>
      <c r="C3" s="114">
        <v>0</v>
      </c>
      <c r="D3" s="112">
        <v>0</v>
      </c>
      <c r="E3" s="112">
        <v>0</v>
      </c>
      <c r="F3" s="112">
        <v>0</v>
      </c>
      <c r="G3" s="112">
        <v>0</v>
      </c>
      <c r="H3" s="112">
        <v>0</v>
      </c>
      <c r="I3" s="112">
        <v>0</v>
      </c>
      <c r="J3" s="112">
        <v>0</v>
      </c>
    </row>
    <row r="4" spans="1:10" x14ac:dyDescent="0.4">
      <c r="A4" s="110" t="s">
        <v>3</v>
      </c>
      <c r="B4" s="114" cm="1">
        <f t="array" ref="B4:J4">VLOOKUP($A4,'Modelo Económico-Financiero'!$A$5:$J$133,{2,3,4,5,6,7,8,9,10},0)</f>
        <v>0</v>
      </c>
      <c r="C4" s="115">
        <v>110250</v>
      </c>
      <c r="D4" s="113">
        <v>121826.24999999999</v>
      </c>
      <c r="E4" s="113">
        <v>114618.00625000001</v>
      </c>
      <c r="F4" s="113">
        <v>148752.89690624998</v>
      </c>
      <c r="G4" s="113">
        <v>134371.951081406</v>
      </c>
      <c r="H4" s="113">
        <v>151631.005944954</v>
      </c>
      <c r="I4" s="113">
        <v>131702.26156917401</v>
      </c>
      <c r="J4" s="113">
        <v>155775.999033937</v>
      </c>
    </row>
    <row r="5" spans="1:10" x14ac:dyDescent="0.4">
      <c r="A5" s="110" t="s">
        <v>4</v>
      </c>
      <c r="B5" s="114" cm="1">
        <f t="array" ref="B5:J5">VLOOKUP($A5,'Modelo Económico-Financiero'!$A$5:$J$133,{2,3,4,5,6,7,8,9,10},0)</f>
        <v>0</v>
      </c>
      <c r="C5" s="115">
        <v>55398</v>
      </c>
      <c r="D5" s="113">
        <v>61214.789999999994</v>
      </c>
      <c r="E5" s="113">
        <v>67642.342949999991</v>
      </c>
      <c r="F5" s="113">
        <v>74744.788959749989</v>
      </c>
      <c r="G5" s="113">
        <v>82592.991800523727</v>
      </c>
      <c r="H5" s="113">
        <v>91265.25593957871</v>
      </c>
      <c r="I5" s="113">
        <v>100848.10781323447</v>
      </c>
      <c r="J5" s="113">
        <v>111437.1591336241</v>
      </c>
    </row>
    <row r="6" spans="1:10" x14ac:dyDescent="0.4">
      <c r="A6" s="110" t="s">
        <v>9</v>
      </c>
      <c r="B6" s="114" cm="1">
        <f t="array" ref="B6:J6">VLOOKUP($A6,'Modelo Económico-Financiero'!$A$5:$J$133,{2,3,4,5,6,7,8,9,10},0)</f>
        <v>0</v>
      </c>
      <c r="C6" s="115">
        <v>45189.375</v>
      </c>
      <c r="D6" s="113">
        <v>49327.884374999994</v>
      </c>
      <c r="E6" s="113">
        <v>50750.937234375</v>
      </c>
      <c r="F6" s="113">
        <v>58954.160643984367</v>
      </c>
      <c r="G6" s="113">
        <v>59812.972511602682</v>
      </c>
      <c r="H6" s="113">
        <v>65983.084625321033</v>
      </c>
      <c r="I6" s="113">
        <v>66658.55851097971</v>
      </c>
      <c r="J6" s="113">
        <v>74664.919654632526</v>
      </c>
    </row>
    <row r="7" spans="1:10" x14ac:dyDescent="0.4">
      <c r="A7" s="110" t="s">
        <v>12</v>
      </c>
      <c r="B7" s="114" cm="1">
        <f t="array" ref="B7:J7">VLOOKUP($A7,'Modelo Económico-Financiero'!$A$5:$J$133,{2,3,4,5,6,7,8,9,10},0)</f>
        <v>0</v>
      </c>
      <c r="C7" s="115">
        <v>9662.625</v>
      </c>
      <c r="D7" s="113">
        <v>11283.575624999998</v>
      </c>
      <c r="E7" s="113">
        <v>-3775.2739343749854</v>
      </c>
      <c r="F7" s="113">
        <v>15053.947302515626</v>
      </c>
      <c r="G7" s="113">
        <v>-8034.013230720404</v>
      </c>
      <c r="H7" s="113">
        <v>-5617.3346199457446</v>
      </c>
      <c r="I7" s="113">
        <v>-35804.404755040174</v>
      </c>
      <c r="J7" s="113">
        <v>-30326.079754319624</v>
      </c>
    </row>
    <row r="8" spans="1:10" x14ac:dyDescent="0.4">
      <c r="A8" s="110" t="s">
        <v>2</v>
      </c>
      <c r="B8" s="114" cm="1">
        <f t="array" ref="B8:J8">VLOOKUP($A8,'Modelo Económico-Financiero'!$A$5:$J$133,{2,3,4,5,6,7,8,9,10},0)</f>
        <v>0</v>
      </c>
      <c r="C8" s="115">
        <v>1043.4176525390624</v>
      </c>
      <c r="D8" s="113">
        <v>2329.0621105869118</v>
      </c>
      <c r="E8" s="113">
        <v>-7780.4530271764506</v>
      </c>
      <c r="F8" s="113">
        <v>5199.7684505168872</v>
      </c>
      <c r="G8" s="113">
        <v>-10431.241557178957</v>
      </c>
      <c r="H8" s="113">
        <v>-8694.7585825966016</v>
      </c>
      <c r="I8" s="113">
        <v>-29223.107971308393</v>
      </c>
      <c r="J8" s="113">
        <v>-25460.253172870154</v>
      </c>
    </row>
    <row r="9" spans="1:10" x14ac:dyDescent="0.4">
      <c r="A9" s="109" t="s">
        <v>95</v>
      </c>
      <c r="B9" s="114" cm="1">
        <f t="array" ref="B9:J9">VLOOKUP($A9,'Modelo Económico-Financiero'!$A$5:$J$133,{2,3,4,5,6,7,8,9,10},0)</f>
        <v>0</v>
      </c>
      <c r="C9" s="114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</row>
    <row r="10" spans="1:10" x14ac:dyDescent="0.4">
      <c r="A10" s="110" t="s">
        <v>14</v>
      </c>
      <c r="B10" s="114" cm="1">
        <f t="array" ref="B10:J10">VLOOKUP($A10,'Modelo Económico-Financiero'!$A$5:$J$133,{2,3,4,5,6,7,8,9,10},0)</f>
        <v>0</v>
      </c>
      <c r="C10" s="115">
        <v>116274.37500000001</v>
      </c>
      <c r="D10" s="113">
        <v>127821.684375</v>
      </c>
      <c r="E10" s="113">
        <v>120631.46123437502</v>
      </c>
      <c r="F10" s="113">
        <v>154681.01466398436</v>
      </c>
      <c r="G10" s="113">
        <v>140336.02120370249</v>
      </c>
      <c r="H10" s="113">
        <v>157551.92843009162</v>
      </c>
      <c r="I10" s="113">
        <v>137673.00591525107</v>
      </c>
      <c r="J10" s="113">
        <v>161686.55903635218</v>
      </c>
    </row>
    <row r="11" spans="1:10" x14ac:dyDescent="0.4">
      <c r="A11" s="110" t="s">
        <v>16</v>
      </c>
      <c r="B11" s="114" cm="1">
        <f t="array" ref="B11:J11">VLOOKUP($A11,'Modelo Económico-Financiero'!$A$5:$J$133,{2,3,4,5,6,7,8,9,10},0)</f>
        <v>0</v>
      </c>
      <c r="C11" s="115">
        <v>180600</v>
      </c>
      <c r="D11" s="113">
        <v>161700</v>
      </c>
      <c r="E11" s="113">
        <v>142800</v>
      </c>
      <c r="F11" s="113">
        <v>123900</v>
      </c>
      <c r="G11" s="113">
        <v>105000</v>
      </c>
      <c r="H11" s="113">
        <v>86100</v>
      </c>
      <c r="I11" s="113">
        <v>67200</v>
      </c>
      <c r="J11" s="113">
        <v>48300</v>
      </c>
    </row>
    <row r="12" spans="1:10" x14ac:dyDescent="0.4">
      <c r="A12" s="110" t="s">
        <v>29</v>
      </c>
      <c r="B12" s="114" cm="1">
        <f t="array" ref="B12:J12">VLOOKUP($A12,'Modelo Económico-Financiero'!$A$5:$J$133,{2,3,4,5,6,7,8,9,10},0)</f>
        <v>0</v>
      </c>
      <c r="C12" s="115">
        <v>296874.375</v>
      </c>
      <c r="D12" s="113">
        <v>289521.68437500001</v>
      </c>
      <c r="E12" s="113">
        <v>263431.46123437502</v>
      </c>
      <c r="F12" s="113">
        <v>278581.01466398436</v>
      </c>
      <c r="G12" s="113">
        <v>245336.02120370249</v>
      </c>
      <c r="H12" s="113">
        <v>243651.92843009162</v>
      </c>
      <c r="I12" s="113">
        <v>204873.00591525107</v>
      </c>
      <c r="J12" s="113">
        <v>209986.55903635218</v>
      </c>
    </row>
    <row r="13" spans="1:10" x14ac:dyDescent="0.4">
      <c r="A13" s="110" t="s">
        <v>24</v>
      </c>
      <c r="B13" s="114" cm="1">
        <f t="array" ref="B13:J13">VLOOKUP($A13,'Modelo Económico-Financiero'!$A$5:$J$133,{2,3,4,5,6,7,8,9,10},0)</f>
        <v>0</v>
      </c>
      <c r="C13" s="115">
        <v>48984.271875000006</v>
      </c>
      <c r="D13" s="113">
        <v>47771.077921875003</v>
      </c>
      <c r="E13" s="113">
        <v>43466.191103671881</v>
      </c>
      <c r="F13" s="113">
        <v>45965.86741955742</v>
      </c>
      <c r="G13" s="113">
        <v>40480.443498610912</v>
      </c>
      <c r="H13" s="113">
        <v>40202.568190965118</v>
      </c>
      <c r="I13" s="113">
        <v>33804.04597601643</v>
      </c>
      <c r="J13" s="113">
        <v>34647.782240998109</v>
      </c>
    </row>
    <row r="14" spans="1:10" x14ac:dyDescent="0.4">
      <c r="A14" s="110" t="s">
        <v>27</v>
      </c>
      <c r="B14" s="114" cm="1">
        <f t="array" ref="B14:J14">VLOOKUP($A14,'Modelo Económico-Financiero'!$A$5:$J$133,{2,3,4,5,6,7,8,9,10},0)</f>
        <v>0</v>
      </c>
      <c r="C14" s="115">
        <v>111327.89062500001</v>
      </c>
      <c r="D14" s="113">
        <v>108570.63164062501</v>
      </c>
      <c r="E14" s="113">
        <v>98786.797962890647</v>
      </c>
      <c r="F14" s="113">
        <v>104467.88049899414</v>
      </c>
      <c r="G14" s="113">
        <v>92001.007951388441</v>
      </c>
      <c r="H14" s="113">
        <v>91369.473161284361</v>
      </c>
      <c r="I14" s="113">
        <v>76827.377218219161</v>
      </c>
      <c r="J14" s="113">
        <v>78744.959638632077</v>
      </c>
    </row>
    <row r="15" spans="1:10" x14ac:dyDescent="0.4">
      <c r="A15" s="110" t="s">
        <v>28</v>
      </c>
      <c r="B15" s="114" cm="1">
        <f t="array" ref="B15:J15">VLOOKUP($A15,'Modelo Económico-Financiero'!$A$5:$J$133,{2,3,4,5,6,7,8,9,10},0)</f>
        <v>0</v>
      </c>
      <c r="C15" s="115">
        <v>185546.484375</v>
      </c>
      <c r="D15" s="113">
        <v>180951.052734375</v>
      </c>
      <c r="E15" s="113">
        <v>177113.41327148437</v>
      </c>
      <c r="F15" s="113">
        <v>174113.13416499022</v>
      </c>
      <c r="G15" s="113">
        <v>172038.13825231418</v>
      </c>
      <c r="H15" s="113">
        <v>170985.58026880716</v>
      </c>
      <c r="I15" s="113">
        <v>171062.81619703193</v>
      </c>
      <c r="J15" s="113">
        <v>172388.47439772027</v>
      </c>
    </row>
    <row r="16" spans="1:10" x14ac:dyDescent="0.4">
      <c r="A16" s="110" t="s">
        <v>30</v>
      </c>
      <c r="B16" s="114" cm="1">
        <f t="array" ref="B16:J16">VLOOKUP($A16,'Modelo Económico-Financiero'!$A$5:$J$133,{2,3,4,5,6,7,8,9,10},0)</f>
        <v>0</v>
      </c>
      <c r="C16" s="115">
        <v>296874.375</v>
      </c>
      <c r="D16" s="113">
        <v>289521.68437500001</v>
      </c>
      <c r="E16" s="113">
        <v>275900.21123437502</v>
      </c>
      <c r="F16" s="113">
        <v>278581.01466398436</v>
      </c>
      <c r="G16" s="113">
        <v>264039.14620370261</v>
      </c>
      <c r="H16" s="113">
        <v>262355.05343009153</v>
      </c>
      <c r="I16" s="113">
        <v>247890.19341525109</v>
      </c>
      <c r="J16" s="113">
        <v>251133.43403635235</v>
      </c>
    </row>
    <row r="17" spans="1:10" x14ac:dyDescent="0.4">
      <c r="A17" s="109" t="s">
        <v>76</v>
      </c>
      <c r="B17" s="114" cm="1">
        <f t="array" ref="B17:J17">VLOOKUP($A17,'Modelo Económico-Financiero'!$A$5:$J$133,{2,3,4,5,6,7,8,9,10},0)</f>
        <v>0</v>
      </c>
      <c r="C17" s="114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</row>
    <row r="18" spans="1:10" x14ac:dyDescent="0.4">
      <c r="A18" s="110" t="s">
        <v>65</v>
      </c>
      <c r="B18" s="116" cm="1">
        <f t="array" ref="B18:J18">VLOOKUP($A18,'Modelo Económico-Financiero'!$A$5:$J$133,{2,3,4,5,6,7,8,9,10},0)</f>
        <v>0.19900000000000001</v>
      </c>
      <c r="C18" s="114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</row>
    <row r="19" spans="1:10" x14ac:dyDescent="0.4">
      <c r="A19" s="110" t="s">
        <v>34</v>
      </c>
      <c r="B19" s="114" cm="1">
        <f t="array" ref="B19:J19">VLOOKUP($A19,'Modelo Económico-Financiero'!$A$5:$J$133,{2,3,4,5,6,7,8,9,10},0)</f>
        <v>0</v>
      </c>
      <c r="C19" s="115">
        <v>6812.1506250000002</v>
      </c>
      <c r="D19" s="113">
        <v>7954.9208156249988</v>
      </c>
      <c r="E19" s="113">
        <v>-2661.5681237343647</v>
      </c>
      <c r="F19" s="113">
        <v>10613.032848273517</v>
      </c>
      <c r="G19" s="113">
        <v>-5663.9793276578848</v>
      </c>
      <c r="H19" s="113">
        <v>-3960.22090706175</v>
      </c>
      <c r="I19" s="113">
        <v>-25242.105352303322</v>
      </c>
      <c r="J19" s="113">
        <v>-21379.886226795337</v>
      </c>
    </row>
    <row r="20" spans="1:10" x14ac:dyDescent="0.4">
      <c r="A20" s="110" t="s">
        <v>79</v>
      </c>
      <c r="B20" s="114" cm="1">
        <f t="array" ref="B20:J20">VLOOKUP($A20,'Modelo Económico-Financiero'!$A$5:$J$133,{2,3,4,5,6,7,8,9,10},0)</f>
        <v>0</v>
      </c>
      <c r="C20" s="115">
        <v>-35880.332738085941</v>
      </c>
      <c r="D20" s="113">
        <v>-33680.197383553721</v>
      </c>
      <c r="E20" s="113">
        <v>-40544.74101820185</v>
      </c>
      <c r="F20" s="113">
        <v>-29448.745248316169</v>
      </c>
      <c r="G20" s="113">
        <v>-40944.909194389453</v>
      </c>
      <c r="H20" s="113">
        <v>-38998.967181089247</v>
      </c>
      <c r="I20" s="113">
        <v>-54704.188082017754</v>
      </c>
      <c r="J20" s="113">
        <v>-51577.331453016457</v>
      </c>
    </row>
    <row r="21" spans="1:10" x14ac:dyDescent="0.4">
      <c r="A21" s="109" t="s">
        <v>90</v>
      </c>
      <c r="B21" s="114" cm="1">
        <f t="array" ref="B21:J21">VLOOKUP($A21,'Modelo Económico-Financiero'!$A$5:$J$133,{2,3,4,5,6,7,8,9,10},0)</f>
        <v>0</v>
      </c>
      <c r="C21" s="114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</row>
    <row r="22" spans="1:10" x14ac:dyDescent="0.4">
      <c r="A22" s="110" t="s">
        <v>91</v>
      </c>
      <c r="B22" s="116" cm="1">
        <f t="array" ref="B22:J22">VLOOKUP($A22,'Modelo Económico-Financiero'!$A$5:$J$133,{2,3,4,5,6,7,8,9,10},0)</f>
        <v>0.20167783794222838</v>
      </c>
      <c r="C22" s="114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</row>
    <row r="23" spans="1:10" x14ac:dyDescent="0.4">
      <c r="A23" s="110" t="s">
        <v>38</v>
      </c>
      <c r="B23" s="116" cm="1">
        <f t="array" ref="B23:J23">VLOOKUP($A23,'Modelo Económico-Financiero'!$A$5:$J$133,{2,3,4,5,6,7,8,9,10},0)</f>
        <v>0.14380656250000001</v>
      </c>
      <c r="C23" s="114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</row>
    <row r="24" spans="1:10" x14ac:dyDescent="0.4">
      <c r="A24" s="110" t="s">
        <v>92</v>
      </c>
      <c r="B24" s="116" cm="1">
        <f t="array" ref="B24:J24">VLOOKUP($A24,'Modelo Económico-Financiero'!$A$5:$J$133,{2,3,4,5,6,7,8,9,10},0)</f>
        <v>5.7871275442228365E-2</v>
      </c>
      <c r="C24" s="114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</row>
    <row r="28" spans="1:10" x14ac:dyDescent="0.4">
      <c r="A28" t="s">
        <v>117</v>
      </c>
      <c r="B28">
        <v>1</v>
      </c>
      <c r="D28">
        <f>MATCH(B47,A28:A35,0)-1</f>
        <v>4</v>
      </c>
    </row>
    <row r="29" spans="1:10" x14ac:dyDescent="0.4">
      <c r="A29" t="s">
        <v>118</v>
      </c>
      <c r="B29">
        <v>2</v>
      </c>
    </row>
    <row r="30" spans="1:10" x14ac:dyDescent="0.4">
      <c r="A30" t="s">
        <v>119</v>
      </c>
      <c r="B30">
        <v>3</v>
      </c>
    </row>
    <row r="31" spans="1:10" x14ac:dyDescent="0.4">
      <c r="A31" t="s">
        <v>120</v>
      </c>
      <c r="B31">
        <v>4</v>
      </c>
    </row>
    <row r="32" spans="1:10" x14ac:dyDescent="0.4">
      <c r="A32" t="s">
        <v>121</v>
      </c>
      <c r="B32">
        <v>5</v>
      </c>
    </row>
    <row r="33" spans="1:3" x14ac:dyDescent="0.4">
      <c r="A33" t="s">
        <v>122</v>
      </c>
      <c r="B33">
        <v>6</v>
      </c>
    </row>
    <row r="34" spans="1:3" x14ac:dyDescent="0.4">
      <c r="A34" t="s">
        <v>123</v>
      </c>
      <c r="B34">
        <v>7</v>
      </c>
    </row>
    <row r="35" spans="1:3" x14ac:dyDescent="0.4">
      <c r="A35" t="s">
        <v>124</v>
      </c>
      <c r="B35">
        <v>8</v>
      </c>
    </row>
    <row r="38" spans="1:3" x14ac:dyDescent="0.4">
      <c r="A38" s="110" t="s">
        <v>126</v>
      </c>
      <c r="B38" s="117" t="str">
        <f>Dashboard!J2</f>
        <v>Mayo</v>
      </c>
    </row>
    <row r="40" spans="1:3" x14ac:dyDescent="0.4">
      <c r="A40" s="118">
        <v>1</v>
      </c>
    </row>
    <row r="41" spans="1:3" x14ac:dyDescent="0.4">
      <c r="A41" s="110" t="s">
        <v>3</v>
      </c>
      <c r="B41" s="115">
        <f>HLOOKUP($B$38,$A$2:$J$6,3,0)</f>
        <v>134371.951081406</v>
      </c>
    </row>
    <row r="42" spans="1:3" x14ac:dyDescent="0.4">
      <c r="A42" s="110" t="s">
        <v>4</v>
      </c>
      <c r="B42" s="115">
        <f>HLOOKUP($B$38,$A$2:$J$6,4,0)</f>
        <v>82592.991800523727</v>
      </c>
    </row>
    <row r="43" spans="1:3" x14ac:dyDescent="0.4">
      <c r="A43" s="110" t="s">
        <v>9</v>
      </c>
      <c r="B43" s="115">
        <f>HLOOKUP($B$38,$A$2:$J$6,5,0)</f>
        <v>59812.972511602682</v>
      </c>
    </row>
    <row r="45" spans="1:3" x14ac:dyDescent="0.4">
      <c r="A45" s="118">
        <v>2</v>
      </c>
    </row>
    <row r="47" spans="1:3" x14ac:dyDescent="0.4">
      <c r="A47" s="110" t="s">
        <v>127</v>
      </c>
      <c r="B47" s="117" t="str">
        <f>B38</f>
        <v>Mayo</v>
      </c>
      <c r="C47" s="115">
        <f>HLOOKUP(B47,$A$2:$J$4,3,0)</f>
        <v>134371.951081406</v>
      </c>
    </row>
    <row r="48" spans="1:3" x14ac:dyDescent="0.4">
      <c r="A48" s="110" t="s">
        <v>128</v>
      </c>
      <c r="B48" s="117" t="str">
        <f>_xlfn.XLOOKUP(D28,B28:B35,A28:A35,"",0)</f>
        <v>Abril</v>
      </c>
      <c r="C48" s="115">
        <f>IF(B48="",NA(),HLOOKUP(B48,$A$2:$J$4,3,0))</f>
        <v>148752.89690624998</v>
      </c>
    </row>
    <row r="50" spans="1:4" x14ac:dyDescent="0.4">
      <c r="B50" s="117" t="s">
        <v>129</v>
      </c>
      <c r="C50" s="125">
        <f>IF(B48="",0,(C47/C48))</f>
        <v>0.90332325538569225</v>
      </c>
    </row>
    <row r="52" spans="1:4" x14ac:dyDescent="0.4">
      <c r="B52" s="121" t="s">
        <v>135</v>
      </c>
      <c r="C52" s="122" t="s">
        <v>132</v>
      </c>
      <c r="D52" s="111">
        <f>IF(C50&gt;1.1,1,0)</f>
        <v>0</v>
      </c>
    </row>
    <row r="53" spans="1:4" x14ac:dyDescent="0.4">
      <c r="B53" s="120" t="s">
        <v>130</v>
      </c>
      <c r="C53" s="119" t="s">
        <v>131</v>
      </c>
      <c r="D53" s="111">
        <f>IF(AND(C50&gt;=0.9,C50&lt;=1.1),1,0)</f>
        <v>1</v>
      </c>
    </row>
    <row r="54" spans="1:4" x14ac:dyDescent="0.4">
      <c r="B54" s="121" t="s">
        <v>133</v>
      </c>
      <c r="C54" s="122" t="s">
        <v>134</v>
      </c>
      <c r="D54" s="111">
        <f>IF(AND(C50&lt;0.9,C50&gt;0),1,0)</f>
        <v>0</v>
      </c>
    </row>
    <row r="55" spans="1:4" x14ac:dyDescent="0.4">
      <c r="B55" s="123" t="s">
        <v>136</v>
      </c>
      <c r="C55" s="124">
        <v>0</v>
      </c>
      <c r="D55" s="111" t="e">
        <f>IF(C50=0,NA(),NA())</f>
        <v>#N/A</v>
      </c>
    </row>
    <row r="60" spans="1:4" x14ac:dyDescent="0.4">
      <c r="A60" s="118">
        <v>3</v>
      </c>
    </row>
    <row r="63" spans="1:4" x14ac:dyDescent="0.4">
      <c r="A63" s="118">
        <v>4</v>
      </c>
    </row>
    <row r="65" spans="1:2" x14ac:dyDescent="0.4">
      <c r="A65" s="110" t="s">
        <v>137</v>
      </c>
      <c r="B65" s="115">
        <f>HLOOKUP(B38,$A$2:$J$8,6,0)</f>
        <v>-8034.013230720404</v>
      </c>
    </row>
    <row r="66" spans="1:2" x14ac:dyDescent="0.4">
      <c r="A66" s="110" t="s">
        <v>138</v>
      </c>
      <c r="B66" s="115">
        <f>HLOOKUP(B38,$A$2:$J$8,7,0)</f>
        <v>-10431.241557178957</v>
      </c>
    </row>
    <row r="69" spans="1:2" x14ac:dyDescent="0.4">
      <c r="A69" s="118" t="s">
        <v>140</v>
      </c>
    </row>
    <row r="71" spans="1:2" x14ac:dyDescent="0.4">
      <c r="A71" s="110" t="s">
        <v>14</v>
      </c>
      <c r="B71" s="115">
        <f>HLOOKUP($B$38,$A$2:$J$11,9,0)</f>
        <v>140336.02120370249</v>
      </c>
    </row>
    <row r="72" spans="1:2" x14ac:dyDescent="0.4">
      <c r="A72" s="110" t="s">
        <v>16</v>
      </c>
      <c r="B72" s="115">
        <f>HLOOKUP($B$38,$A$2:$J$11,10,0)</f>
        <v>105000</v>
      </c>
    </row>
    <row r="73" spans="1:2" x14ac:dyDescent="0.4">
      <c r="A73" s="110" t="s">
        <v>29</v>
      </c>
      <c r="B73" s="115">
        <f>HLOOKUP($B$38,$A$2:$J$12,11,0)</f>
        <v>245336.02120370249</v>
      </c>
    </row>
    <row r="75" spans="1:2" x14ac:dyDescent="0.4">
      <c r="A75" s="118" t="s">
        <v>141</v>
      </c>
    </row>
    <row r="77" spans="1:2" x14ac:dyDescent="0.4">
      <c r="A77" s="110" t="s">
        <v>27</v>
      </c>
      <c r="B77" s="115">
        <f>HLOOKUP($B$38,$A$2:$J$16,13,0)</f>
        <v>92001.007951388441</v>
      </c>
    </row>
    <row r="78" spans="1:2" x14ac:dyDescent="0.4">
      <c r="A78" s="110" t="s">
        <v>28</v>
      </c>
      <c r="B78" s="115">
        <f>HLOOKUP($B$38,$A$2:$J$16,14,0)</f>
        <v>172038.13825231418</v>
      </c>
    </row>
    <row r="79" spans="1:2" x14ac:dyDescent="0.4">
      <c r="A79" s="110" t="s">
        <v>30</v>
      </c>
      <c r="B79" s="115">
        <f>HLOOKUP($B$38,$A$2:$J$16,15,0)</f>
        <v>264039.14620370261</v>
      </c>
    </row>
    <row r="84" spans="1:2" x14ac:dyDescent="0.4">
      <c r="A84" s="110" t="s">
        <v>65</v>
      </c>
      <c r="B84" s="116">
        <f>HLOOKUP($B$2,$A$2:$J$24,17,0)</f>
        <v>0.19900000000000001</v>
      </c>
    </row>
    <row r="85" spans="1:2" x14ac:dyDescent="0.4">
      <c r="A85" s="110" t="s">
        <v>34</v>
      </c>
      <c r="B85" s="115">
        <f>HLOOKUP($B$38,$A$2:$J$24,18,0)</f>
        <v>-5663.9793276578848</v>
      </c>
    </row>
    <row r="86" spans="1:2" x14ac:dyDescent="0.4">
      <c r="A86" s="110" t="s">
        <v>79</v>
      </c>
      <c r="B86" s="115">
        <f>HLOOKUP($B$38,$A$2:$J$24,19,0)</f>
        <v>-40944.909194389453</v>
      </c>
    </row>
    <row r="87" spans="1:2" x14ac:dyDescent="0.4">
      <c r="A87" s="110" t="s">
        <v>91</v>
      </c>
      <c r="B87" s="116">
        <f>HLOOKUP($B$2,$A$2:$J$24,21,0)</f>
        <v>0.20167783794222838</v>
      </c>
    </row>
    <row r="88" spans="1:2" x14ac:dyDescent="0.4">
      <c r="A88" s="110" t="s">
        <v>38</v>
      </c>
      <c r="B88" s="116">
        <f>HLOOKUP($B$2,$A$2:$J$24,22,0)</f>
        <v>0.14380656250000001</v>
      </c>
    </row>
    <row r="89" spans="1:2" x14ac:dyDescent="0.4">
      <c r="A89" s="110" t="s">
        <v>92</v>
      </c>
      <c r="B89" s="116">
        <f>HLOOKUP($B$2,$A$2:$J$24,23,0)</f>
        <v>5.7871275442228365E-2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22B1-157C-4D47-AF9B-D43F6606044F}">
  <sheetPr codeName="Hoja4"/>
  <dimension ref="A1:T3"/>
  <sheetViews>
    <sheetView showGridLines="0" tabSelected="1" workbookViewId="0">
      <selection activeCell="J2" sqref="J2:K2"/>
    </sheetView>
  </sheetViews>
  <sheetFormatPr baseColWidth="10" defaultRowHeight="12.3" x14ac:dyDescent="0.4"/>
  <sheetData>
    <row r="1" spans="1:20" x14ac:dyDescent="0.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17.399999999999999" x14ac:dyDescent="0.55000000000000004">
      <c r="A2" s="126"/>
      <c r="B2" s="126"/>
      <c r="C2" s="126"/>
      <c r="D2" s="126"/>
      <c r="E2" s="126"/>
      <c r="F2" s="126"/>
      <c r="G2" s="126"/>
      <c r="H2" s="126"/>
      <c r="I2" s="127" t="s">
        <v>139</v>
      </c>
      <c r="J2" s="128" t="s">
        <v>121</v>
      </c>
      <c r="K2" s="128"/>
      <c r="L2" s="126"/>
      <c r="M2" s="126"/>
      <c r="N2" s="126"/>
      <c r="O2" s="126"/>
      <c r="P2" s="126"/>
      <c r="Q2" s="126"/>
      <c r="R2" s="126"/>
      <c r="S2" s="126"/>
      <c r="T2" s="126"/>
    </row>
    <row r="3" spans="1:20" x14ac:dyDescent="0.4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</sheetData>
  <sheetProtection algorithmName="SHA-512" hashValue="0f/Z3XklQm+SwPUcEZKT8Arav3+0eaE5ar34bisgsdtUPVRuWeiDP1ILtr3e6KxWuO+2jijy38m/j0+QcREKMg==" saltValue="PrQOfEwAFj7sRFEXAKoRCw==" spinCount="100000" sheet="1" objects="1" scenarios="1"/>
  <mergeCells count="1">
    <mergeCell ref="J2:K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EFE1EA-9B96-4553-BBE9-BA3CCA16B7AB}">
          <x14:formula1>
            <xm:f>Calculos!$A$28:$A$35</xm:f>
          </x14:formula1>
          <xm:sqref>J2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BD100CB6D3DE49B6BCBDD1690DE705" ma:contentTypeVersion="4" ma:contentTypeDescription="Crear nuevo documento." ma:contentTypeScope="" ma:versionID="e9482386a0708281a36891300b67e6e9">
  <xsd:schema xmlns:xsd="http://www.w3.org/2001/XMLSchema" xmlns:xs="http://www.w3.org/2001/XMLSchema" xmlns:p="http://schemas.microsoft.com/office/2006/metadata/properties" xmlns:ns2="15f02407-9f4c-4ee8-be20-37d234297eea" targetNamespace="http://schemas.microsoft.com/office/2006/metadata/properties" ma:root="true" ma:fieldsID="018ed8fd2def94fb535879a2ee63aceb" ns2:_="">
    <xsd:import namespace="15f02407-9f4c-4ee8-be20-37d234297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02407-9f4c-4ee8-be20-37d234297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F066EA-92F2-4589-BF6C-19024B8B5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7C47-FB0B-4340-8A25-A36367B35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02407-9f4c-4ee8-be20-37d234297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BCA916-FFF9-4988-BE4F-29301174C2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Metricas</vt:lpstr>
      <vt:lpstr>Modelo Económico-Financiero</vt:lpstr>
      <vt:lpstr>Dashboard</vt:lpstr>
      <vt:lpstr>EVA</vt:lpstr>
      <vt:lpstr>T_LP</vt:lpstr>
      <vt:lpstr>tir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LENOVO</cp:lastModifiedBy>
  <dcterms:created xsi:type="dcterms:W3CDTF">2021-05-09T06:56:23Z</dcterms:created>
  <dcterms:modified xsi:type="dcterms:W3CDTF">2021-06-28T14:20:14Z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0x01010049BD100CB6D3DE49B6BCBDD1690DE705</vt:lpwstr>
  </property>
</Properties>
</file>